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B6A5910C-FEA9-4374-AE0E-ABBB9D618BC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5.Portogallo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'15.Portogallo'!$A$1:$U$57</definedName>
    <definedName name="_xlnm.Print_Area" localSheetId="1">'Trend anni'!$A$1:$D$66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'15.Portogallo'!$2:$6</definedName>
    <definedName name="_xlnm.Print_Titles" localSheetId="1">'Trend anni'!$1:$7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5" i="2" l="1"/>
  <c r="U56" i="1" l="1"/>
  <c r="U50" i="1"/>
  <c r="T40" i="1" l="1"/>
  <c r="S40" i="1" l="1"/>
  <c r="R40" i="1"/>
  <c r="Q40" i="1"/>
  <c r="N40" i="1"/>
  <c r="M40" i="1"/>
  <c r="L40" i="1"/>
  <c r="K40" i="1"/>
  <c r="T42" i="1"/>
  <c r="T49" i="1"/>
  <c r="T48" i="1"/>
  <c r="T47" i="1"/>
  <c r="T45" i="1"/>
  <c r="T44" i="1"/>
  <c r="D64" i="2" l="1"/>
  <c r="T50" i="1"/>
  <c r="T56" i="1"/>
  <c r="S48" i="1"/>
  <c r="S45" i="1"/>
  <c r="S19" i="1"/>
  <c r="S49" i="1" s="1"/>
  <c r="D63" i="2"/>
  <c r="S56" i="1"/>
  <c r="S8" i="1"/>
  <c r="S42" i="1" s="1"/>
  <c r="S12" i="1"/>
  <c r="S28" i="1"/>
  <c r="S47" i="1" s="1"/>
  <c r="S44" i="1"/>
  <c r="D62" i="2"/>
  <c r="R56" i="1"/>
  <c r="R48" i="1"/>
  <c r="R45" i="1"/>
  <c r="R44" i="1"/>
  <c r="R28" i="1"/>
  <c r="R47" i="1" s="1"/>
  <c r="R19" i="1"/>
  <c r="R31" i="1" s="1"/>
  <c r="R12" i="1"/>
  <c r="R8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B56" i="1"/>
  <c r="D61" i="2"/>
  <c r="M19" i="1"/>
  <c r="M49" i="1" s="1"/>
  <c r="N19" i="1"/>
  <c r="N49" i="1"/>
  <c r="O19" i="1"/>
  <c r="O49" i="1" s="1"/>
  <c r="P19" i="1"/>
  <c r="P31" i="1"/>
  <c r="Q19" i="1"/>
  <c r="Q49" i="1" s="1"/>
  <c r="Q12" i="1"/>
  <c r="Q8" i="1"/>
  <c r="Q42" i="1"/>
  <c r="Q28" i="1"/>
  <c r="Q47" i="1" s="1"/>
  <c r="Q45" i="1"/>
  <c r="Q44" i="1"/>
  <c r="Q48" i="1"/>
  <c r="O39" i="1"/>
  <c r="O48" i="1" s="1"/>
  <c r="P39" i="1"/>
  <c r="P48" i="1"/>
  <c r="P37" i="1"/>
  <c r="P40" i="1" s="1"/>
  <c r="O37" i="1"/>
  <c r="O45" i="1"/>
  <c r="D60" i="2"/>
  <c r="H42" i="2" s="1"/>
  <c r="P47" i="1"/>
  <c r="P44" i="1"/>
  <c r="P42" i="1"/>
  <c r="D59" i="2"/>
  <c r="H41" i="2"/>
  <c r="O46" i="1"/>
  <c r="O44" i="1"/>
  <c r="O43" i="1"/>
  <c r="O42" i="1"/>
  <c r="D55" i="2"/>
  <c r="H37" i="2" s="1"/>
  <c r="D56" i="2"/>
  <c r="H38" i="2" s="1"/>
  <c r="D57" i="2"/>
  <c r="H39" i="2" s="1"/>
  <c r="D58" i="2"/>
  <c r="H40" i="2" s="1"/>
  <c r="D8" i="2"/>
  <c r="C9" i="2"/>
  <c r="D9" i="2"/>
  <c r="C10" i="2"/>
  <c r="D10" i="2" s="1"/>
  <c r="C11" i="2"/>
  <c r="D11" i="2"/>
  <c r="C12" i="2"/>
  <c r="D12" i="2" s="1"/>
  <c r="C13" i="2"/>
  <c r="D13" i="2" s="1"/>
  <c r="C14" i="2"/>
  <c r="D14" i="2" s="1"/>
  <c r="C15" i="2"/>
  <c r="D15" i="2" s="1"/>
  <c r="C16" i="2"/>
  <c r="D16" i="2" s="1"/>
  <c r="C17" i="2"/>
  <c r="D17" i="2"/>
  <c r="C18" i="2"/>
  <c r="D18" i="2" s="1"/>
  <c r="C19" i="2"/>
  <c r="D19" i="2"/>
  <c r="C20" i="2"/>
  <c r="D20" i="2" s="1"/>
  <c r="C21" i="2"/>
  <c r="D21" i="2" s="1"/>
  <c r="C22" i="2"/>
  <c r="D22" i="2" s="1"/>
  <c r="C23" i="2"/>
  <c r="D23" i="2" s="1"/>
  <c r="C24" i="2"/>
  <c r="D24" i="2" s="1"/>
  <c r="C25" i="2"/>
  <c r="D25" i="2"/>
  <c r="C26" i="2"/>
  <c r="D26" i="2" s="1"/>
  <c r="H31" i="2" s="1"/>
  <c r="C27" i="2"/>
  <c r="D27" i="2"/>
  <c r="C28" i="2"/>
  <c r="D28" i="2" s="1"/>
  <c r="C29" i="2"/>
  <c r="D29" i="2" s="1"/>
  <c r="C30" i="2"/>
  <c r="D30" i="2" s="1"/>
  <c r="C31" i="2"/>
  <c r="D31" i="2" s="1"/>
  <c r="C32" i="2"/>
  <c r="D32" i="2" s="1"/>
  <c r="C33" i="2"/>
  <c r="D33" i="2"/>
  <c r="C34" i="2"/>
  <c r="D34" i="2" s="1"/>
  <c r="C35" i="2"/>
  <c r="D35" i="2" s="1"/>
  <c r="C36" i="2"/>
  <c r="D36" i="2" s="1"/>
  <c r="H32" i="2" s="1"/>
  <c r="C37" i="2"/>
  <c r="D37" i="2" s="1"/>
  <c r="C38" i="2"/>
  <c r="D38" i="2"/>
  <c r="C39" i="2"/>
  <c r="D39" i="2" s="1"/>
  <c r="C40" i="2"/>
  <c r="D40" i="2" s="1"/>
  <c r="C41" i="2"/>
  <c r="D41" i="2"/>
  <c r="C42" i="2"/>
  <c r="D42" i="2" s="1"/>
  <c r="C43" i="2"/>
  <c r="D43" i="2"/>
  <c r="C44" i="2"/>
  <c r="D44" i="2" s="1"/>
  <c r="D45" i="2"/>
  <c r="D46" i="2"/>
  <c r="H33" i="2" s="1"/>
  <c r="D47" i="2"/>
  <c r="D48" i="2"/>
  <c r="D49" i="2"/>
  <c r="D50" i="2"/>
  <c r="D51" i="2"/>
  <c r="H34" i="2" s="1"/>
  <c r="D52" i="2"/>
  <c r="D53" i="2"/>
  <c r="H35" i="2"/>
  <c r="D54" i="2"/>
  <c r="H36" i="2" s="1"/>
  <c r="N48" i="1"/>
  <c r="N46" i="1"/>
  <c r="N45" i="1"/>
  <c r="N44" i="1"/>
  <c r="N43" i="1"/>
  <c r="N42" i="1"/>
  <c r="N28" i="1"/>
  <c r="M48" i="1"/>
  <c r="L48" i="1"/>
  <c r="K48" i="1"/>
  <c r="J48" i="1"/>
  <c r="I48" i="1"/>
  <c r="H48" i="1"/>
  <c r="G48" i="1"/>
  <c r="F48" i="1"/>
  <c r="E48" i="1"/>
  <c r="D48" i="1"/>
  <c r="M46" i="1"/>
  <c r="L46" i="1"/>
  <c r="K46" i="1"/>
  <c r="J46" i="1"/>
  <c r="I46" i="1"/>
  <c r="M45" i="1"/>
  <c r="L45" i="1"/>
  <c r="K45" i="1"/>
  <c r="J45" i="1"/>
  <c r="I45" i="1"/>
  <c r="H45" i="1"/>
  <c r="G45" i="1"/>
  <c r="F45" i="1"/>
  <c r="E45" i="1"/>
  <c r="M44" i="1"/>
  <c r="L44" i="1"/>
  <c r="K44" i="1"/>
  <c r="J44" i="1"/>
  <c r="I44" i="1"/>
  <c r="H44" i="1"/>
  <c r="G44" i="1"/>
  <c r="F44" i="1"/>
  <c r="E44" i="1"/>
  <c r="D44" i="1"/>
  <c r="M43" i="1"/>
  <c r="L43" i="1"/>
  <c r="K43" i="1"/>
  <c r="J43" i="1"/>
  <c r="I43" i="1"/>
  <c r="M42" i="1"/>
  <c r="C39" i="1"/>
  <c r="C48" i="1"/>
  <c r="B39" i="1"/>
  <c r="B48" i="1" s="1"/>
  <c r="D37" i="1"/>
  <c r="D40" i="1"/>
  <c r="C37" i="1"/>
  <c r="C45" i="1" s="1"/>
  <c r="B37" i="1"/>
  <c r="B45" i="1"/>
  <c r="C36" i="1"/>
  <c r="C44" i="1" s="1"/>
  <c r="B36" i="1"/>
  <c r="B40" i="1" s="1"/>
  <c r="B44" i="1"/>
  <c r="J34" i="1"/>
  <c r="I34" i="1"/>
  <c r="H34" i="1"/>
  <c r="H40" i="1" s="1"/>
  <c r="G34" i="1"/>
  <c r="G40" i="1"/>
  <c r="F34" i="1"/>
  <c r="F40" i="1" s="1"/>
  <c r="E34" i="1"/>
  <c r="E40" i="1" s="1"/>
  <c r="C34" i="1"/>
  <c r="C42" i="1" s="1"/>
  <c r="B34" i="1"/>
  <c r="M28" i="1"/>
  <c r="L28" i="1"/>
  <c r="L47" i="1" s="1"/>
  <c r="K28" i="1"/>
  <c r="K47" i="1" s="1"/>
  <c r="J28" i="1"/>
  <c r="J47" i="1" s="1"/>
  <c r="I28" i="1"/>
  <c r="I47" i="1" s="1"/>
  <c r="H28" i="1"/>
  <c r="H47" i="1" s="1"/>
  <c r="G28" i="1"/>
  <c r="G47" i="1" s="1"/>
  <c r="F28" i="1"/>
  <c r="F47" i="1"/>
  <c r="E28" i="1"/>
  <c r="E47" i="1" s="1"/>
  <c r="D28" i="1"/>
  <c r="D47" i="1" s="1"/>
  <c r="C28" i="1"/>
  <c r="C47" i="1" s="1"/>
  <c r="B28" i="1"/>
  <c r="B47" i="1" s="1"/>
  <c r="H25" i="1"/>
  <c r="H43" i="1" s="1"/>
  <c r="G25" i="1"/>
  <c r="G43" i="1"/>
  <c r="F25" i="1"/>
  <c r="F43" i="1" s="1"/>
  <c r="E25" i="1"/>
  <c r="E43" i="1"/>
  <c r="D25" i="1"/>
  <c r="D43" i="1" s="1"/>
  <c r="C25" i="1"/>
  <c r="C43" i="1"/>
  <c r="B25" i="1"/>
  <c r="B43" i="1" s="1"/>
  <c r="L19" i="1"/>
  <c r="L49" i="1" s="1"/>
  <c r="K19" i="1"/>
  <c r="K49" i="1" s="1"/>
  <c r="J19" i="1"/>
  <c r="J49" i="1" s="1"/>
  <c r="I19" i="1"/>
  <c r="I49" i="1" s="1"/>
  <c r="H19" i="1"/>
  <c r="H49" i="1"/>
  <c r="G19" i="1"/>
  <c r="G49" i="1" s="1"/>
  <c r="F19" i="1"/>
  <c r="F49" i="1" s="1"/>
  <c r="E19" i="1"/>
  <c r="E49" i="1" s="1"/>
  <c r="D19" i="1"/>
  <c r="D49" i="1" s="1"/>
  <c r="C19" i="1"/>
  <c r="C49" i="1" s="1"/>
  <c r="B19" i="1"/>
  <c r="B49" i="1"/>
  <c r="C17" i="1"/>
  <c r="B17" i="1"/>
  <c r="C16" i="1"/>
  <c r="C15" i="1" s="1"/>
  <c r="C46" i="1" s="1"/>
  <c r="B16" i="1"/>
  <c r="H15" i="1"/>
  <c r="H46" i="1"/>
  <c r="G15" i="1"/>
  <c r="G46" i="1" s="1"/>
  <c r="F15" i="1"/>
  <c r="F46" i="1"/>
  <c r="E15" i="1"/>
  <c r="E46" i="1" s="1"/>
  <c r="D15" i="1"/>
  <c r="D46" i="1"/>
  <c r="L12" i="1"/>
  <c r="K12" i="1"/>
  <c r="K42" i="1" s="1"/>
  <c r="J12" i="1"/>
  <c r="I12" i="1"/>
  <c r="I42" i="1" s="1"/>
  <c r="I50" i="1" s="1"/>
  <c r="H12" i="1"/>
  <c r="G12" i="1"/>
  <c r="F12" i="1"/>
  <c r="E12" i="1"/>
  <c r="D12" i="1"/>
  <c r="C12" i="1"/>
  <c r="B12" i="1"/>
  <c r="B10" i="1"/>
  <c r="B8" i="1" s="1"/>
  <c r="L8" i="1"/>
  <c r="L42" i="1" s="1"/>
  <c r="K8" i="1"/>
  <c r="J8" i="1"/>
  <c r="I8" i="1"/>
  <c r="H8" i="1"/>
  <c r="G8" i="1"/>
  <c r="G42" i="1" s="1"/>
  <c r="F8" i="1"/>
  <c r="E8" i="1"/>
  <c r="D8" i="1"/>
  <c r="D42" i="1"/>
  <c r="C8" i="1"/>
  <c r="N47" i="1"/>
  <c r="O47" i="1"/>
  <c r="M47" i="1"/>
  <c r="I40" i="1"/>
  <c r="D45" i="1"/>
  <c r="R49" i="1"/>
  <c r="N31" i="1"/>
  <c r="P49" i="1"/>
  <c r="C40" i="1"/>
  <c r="R42" i="1"/>
  <c r="L50" i="1" l="1"/>
  <c r="K50" i="1"/>
  <c r="J31" i="1"/>
  <c r="M50" i="1"/>
  <c r="F31" i="1"/>
  <c r="E42" i="1"/>
  <c r="E50" i="1" s="1"/>
  <c r="B15" i="1"/>
  <c r="B46" i="1" s="1"/>
  <c r="B50" i="1" s="1"/>
  <c r="N50" i="1"/>
  <c r="O40" i="1"/>
  <c r="O31" i="1"/>
  <c r="M31" i="1"/>
  <c r="B42" i="1"/>
  <c r="J42" i="1"/>
  <c r="J50" i="1" s="1"/>
  <c r="J40" i="1"/>
  <c r="R50" i="1"/>
  <c r="O50" i="1"/>
  <c r="S50" i="1"/>
  <c r="D50" i="1"/>
  <c r="C50" i="1"/>
  <c r="G50" i="1"/>
  <c r="Q50" i="1"/>
  <c r="B31" i="1"/>
  <c r="D31" i="1"/>
  <c r="E31" i="1"/>
  <c r="C31" i="1"/>
  <c r="Q31" i="1"/>
  <c r="H42" i="1"/>
  <c r="H50" i="1" s="1"/>
  <c r="G31" i="1"/>
  <c r="I31" i="1"/>
  <c r="F42" i="1"/>
  <c r="F50" i="1" s="1"/>
  <c r="H31" i="1"/>
  <c r="P45" i="1"/>
  <c r="P50" i="1" s="1"/>
  <c r="K31" i="1"/>
  <c r="L31" i="1"/>
</calcChain>
</file>

<file path=xl/sharedStrings.xml><?xml version="1.0" encoding="utf-8"?>
<sst xmlns="http://schemas.openxmlformats.org/spreadsheetml/2006/main" count="199" uniqueCount="46">
  <si>
    <r>
      <t>PORTOGALLO/</t>
    </r>
    <r>
      <rPr>
        <b/>
        <i/>
        <sz val="10"/>
        <rFont val="Trebuchet MS"/>
        <family val="2"/>
      </rPr>
      <t>PORTUGAL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</si>
  <si>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</si>
  <si>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CITROEN</t>
  </si>
  <si>
    <t>-</t>
  </si>
  <si>
    <t>SAXO</t>
  </si>
  <si>
    <t>BERLINGO</t>
  </si>
  <si>
    <t>PEUGEOT</t>
  </si>
  <si>
    <t>PARTNER</t>
  </si>
  <si>
    <t>OPEL</t>
  </si>
  <si>
    <t>CORSA</t>
  </si>
  <si>
    <t>CORSA COMBO</t>
  </si>
  <si>
    <t>VOLKSWAGEN</t>
  </si>
  <si>
    <t>SHARAN</t>
  </si>
  <si>
    <t>EOS</t>
  </si>
  <si>
    <t>SCIROCCO</t>
  </si>
  <si>
    <t>FORD</t>
  </si>
  <si>
    <t>GALAXI</t>
  </si>
  <si>
    <t>SEAT</t>
  </si>
  <si>
    <t>ALHAMBRA</t>
  </si>
  <si>
    <t>TOTALE</t>
  </si>
  <si>
    <r>
      <t>VEICOLI INDUSTRIALI/</t>
    </r>
    <r>
      <rPr>
        <i/>
        <sz val="10"/>
        <rFont val="Trebuchet MS"/>
        <family val="2"/>
      </rPr>
      <t>COMMERCIAL VEHICLES</t>
    </r>
  </si>
  <si>
    <t>CITROEN-PEUGEOT</t>
  </si>
  <si>
    <t>ISUZU</t>
  </si>
  <si>
    <t>MITSUBISHI</t>
  </si>
  <si>
    <t>TOYOTA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</si>
  <si>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</si>
  <si>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</si>
  <si>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</si>
  <si>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</si>
  <si>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</si>
  <si>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</si>
  <si>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</si>
  <si>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</si>
  <si>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</si>
  <si>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PRODUCTION (000's)</t>
  </si>
  <si>
    <t>PRODUZIONE (migliaia di autoveicoli)</t>
  </si>
  <si>
    <t>Fonte: ACAP</t>
  </si>
  <si>
    <t>VLC / LCV &lt;=3500 kg</t>
  </si>
  <si>
    <t>Autocarri / Trucks &gt;3500 kg</t>
  </si>
  <si>
    <r>
      <t xml:space="preserve">Dettaglio per peso autocarri e bus/ </t>
    </r>
    <r>
      <rPr>
        <i/>
        <sz val="9"/>
        <rFont val="Trebuchet MS"/>
        <family val="2"/>
      </rPr>
      <t>Detail for GVW of trucks and buses</t>
    </r>
  </si>
  <si>
    <t>Autobus/ Autobus &gt;3500 kg</t>
  </si>
  <si>
    <t>Fonte: OICA/ACAP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</si>
  <si>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</si>
  <si>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TOTALE / TOTAL</t>
  </si>
  <si>
    <t>T-ROC</t>
  </si>
  <si>
    <t>CAETANO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</si>
</sst>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#,##0.0_);\(#,##0.0\)"/>
    <numFmt numFmtId="168" formatCode="0.0"/>
    <numFmt numFmtId="169" formatCode="_-* #,##0_-;\-* #,##0_-;_-* &quot;-&quot;??_-;_-@_-"/>
    <numFmt numFmtId="170" formatCode="#,##0.000"/>
    <numFmt numFmtId="171" formatCode="#,##0.000_);\(#,##0.000\)"/>
  </numFmts>
  <fonts count="18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b/>
      <i/>
      <sz val="9"/>
      <name val="Trebuchet MS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9"/>
      <color indexed="9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165" fontId="10" fillId="2" borderId="0" applyNumberFormat="0" applyBorder="0">
      <alignment horizontal="right"/>
      <protection locked="0"/>
    </xf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3" fillId="0" borderId="0"/>
    <xf numFmtId="0" fontId="1" fillId="0" borderId="0"/>
    <xf numFmtId="0" fontId="12" fillId="0" borderId="0"/>
    <xf numFmtId="0" fontId="11" fillId="0" borderId="0"/>
    <xf numFmtId="0" fontId="11" fillId="0" borderId="0"/>
    <xf numFmtId="165" fontId="10" fillId="2" borderId="0" applyNumberFormat="0" applyBorder="0">
      <alignment horizontal="left"/>
      <protection locked="0"/>
    </xf>
  </cellStyleXfs>
  <cellXfs count="82">
    <xf numFmtId="0" fontId="0" fillId="0" borderId="0" xfId="0"/>
    <xf numFmtId="0" fontId="2" fillId="0" borderId="0" xfId="8" applyFont="1"/>
    <xf numFmtId="0" fontId="4" fillId="0" borderId="0" xfId="8" applyFont="1"/>
    <xf numFmtId="0" fontId="8" fillId="0" borderId="0" xfId="8" applyFont="1"/>
    <xf numFmtId="0" fontId="2" fillId="0" borderId="1" xfId="8" applyFont="1" applyBorder="1"/>
    <xf numFmtId="0" fontId="8" fillId="0" borderId="1" xfId="8" applyFont="1" applyBorder="1"/>
    <xf numFmtId="41" fontId="8" fillId="0" borderId="1" xfId="3" applyFont="1" applyBorder="1"/>
    <xf numFmtId="164" fontId="8" fillId="0" borderId="1" xfId="8" applyNumberFormat="1" applyFont="1" applyBorder="1"/>
    <xf numFmtId="0" fontId="7" fillId="0" borderId="2" xfId="8" applyFont="1" applyBorder="1"/>
    <xf numFmtId="41" fontId="7" fillId="0" borderId="2" xfId="3" applyNumberFormat="1" applyFont="1" applyBorder="1"/>
    <xf numFmtId="41" fontId="7" fillId="0" borderId="2" xfId="3" applyNumberFormat="1" applyFont="1" applyBorder="1" applyAlignment="1">
      <alignment horizontal="right"/>
    </xf>
    <xf numFmtId="41" fontId="7" fillId="0" borderId="2" xfId="3" applyFont="1" applyBorder="1" applyAlignment="1">
      <alignment horizontal="right"/>
    </xf>
    <xf numFmtId="164" fontId="7" fillId="0" borderId="2" xfId="3" applyNumberFormat="1" applyFont="1" applyBorder="1" applyAlignment="1">
      <alignment horizontal="right"/>
    </xf>
    <xf numFmtId="164" fontId="7" fillId="3" borderId="2" xfId="3" applyNumberFormat="1" applyFont="1" applyFill="1" applyBorder="1" applyAlignment="1">
      <alignment horizontal="right"/>
    </xf>
    <xf numFmtId="0" fontId="7" fillId="0" borderId="0" xfId="8" applyFont="1"/>
    <xf numFmtId="0" fontId="8" fillId="0" borderId="2" xfId="8" applyFont="1" applyBorder="1"/>
    <xf numFmtId="41" fontId="8" fillId="0" borderId="2" xfId="3" applyNumberFormat="1" applyFont="1" applyBorder="1" applyAlignment="1">
      <alignment horizontal="right"/>
    </xf>
    <xf numFmtId="41" fontId="8" fillId="0" borderId="2" xfId="8" applyNumberFormat="1" applyFont="1" applyBorder="1" applyAlignment="1">
      <alignment horizontal="right"/>
    </xf>
    <xf numFmtId="41" fontId="8" fillId="0" borderId="2" xfId="3" applyFont="1" applyBorder="1" applyAlignment="1">
      <alignment horizontal="right"/>
    </xf>
    <xf numFmtId="41" fontId="8" fillId="3" borderId="2" xfId="3" applyFont="1" applyFill="1" applyBorder="1" applyAlignment="1">
      <alignment horizontal="right"/>
    </xf>
    <xf numFmtId="0" fontId="8" fillId="0" borderId="0" xfId="8" applyFont="1" applyBorder="1"/>
    <xf numFmtId="41" fontId="8" fillId="0" borderId="2" xfId="3" applyNumberFormat="1" applyFont="1" applyBorder="1"/>
    <xf numFmtId="41" fontId="8" fillId="0" borderId="2" xfId="3" applyFont="1" applyBorder="1"/>
    <xf numFmtId="164" fontId="8" fillId="0" borderId="2" xfId="8" applyNumberFormat="1" applyFont="1" applyBorder="1"/>
    <xf numFmtId="164" fontId="8" fillId="3" borderId="2" xfId="8" applyNumberFormat="1" applyFont="1" applyFill="1" applyBorder="1"/>
    <xf numFmtId="41" fontId="7" fillId="3" borderId="2" xfId="3" applyFont="1" applyFill="1" applyBorder="1" applyAlignment="1">
      <alignment horizontal="right"/>
    </xf>
    <xf numFmtId="41" fontId="8" fillId="3" borderId="2" xfId="3" applyNumberFormat="1" applyFont="1" applyFill="1" applyBorder="1" applyAlignment="1">
      <alignment horizontal="right"/>
    </xf>
    <xf numFmtId="41" fontId="8" fillId="0" borderId="2" xfId="8" applyNumberFormat="1" applyFont="1" applyBorder="1"/>
    <xf numFmtId="0" fontId="7" fillId="4" borderId="3" xfId="8" applyFont="1" applyFill="1" applyBorder="1"/>
    <xf numFmtId="41" fontId="7" fillId="4" borderId="3" xfId="3" applyNumberFormat="1" applyFont="1" applyFill="1" applyBorder="1"/>
    <xf numFmtId="41" fontId="7" fillId="4" borderId="3" xfId="3" applyNumberFormat="1" applyFont="1" applyFill="1" applyBorder="1" applyAlignment="1"/>
    <xf numFmtId="41" fontId="7" fillId="4" borderId="3" xfId="3" applyFont="1" applyFill="1" applyBorder="1" applyAlignment="1"/>
    <xf numFmtId="0" fontId="2" fillId="0" borderId="2" xfId="8" applyFont="1" applyBorder="1"/>
    <xf numFmtId="0" fontId="8" fillId="0" borderId="2" xfId="8" applyFont="1" applyBorder="1" applyAlignment="1">
      <alignment horizontal="right"/>
    </xf>
    <xf numFmtId="3" fontId="8" fillId="0" borderId="2" xfId="8" applyNumberFormat="1" applyFont="1" applyBorder="1" applyAlignment="1">
      <alignment horizontal="right"/>
    </xf>
    <xf numFmtId="41" fontId="8" fillId="3" borderId="2" xfId="8" applyNumberFormat="1" applyFont="1" applyFill="1" applyBorder="1" applyAlignment="1">
      <alignment horizontal="right"/>
    </xf>
    <xf numFmtId="0" fontId="7" fillId="4" borderId="3" xfId="8" applyFont="1" applyFill="1" applyBorder="1" applyAlignment="1">
      <alignment horizontal="left" vertical="center"/>
    </xf>
    <xf numFmtId="41" fontId="7" fillId="4" borderId="3" xfId="3" applyFont="1" applyFill="1" applyBorder="1"/>
    <xf numFmtId="41" fontId="7" fillId="4" borderId="3" xfId="3" applyFont="1" applyFill="1" applyBorder="1" applyAlignment="1">
      <alignment horizontal="right"/>
    </xf>
    <xf numFmtId="164" fontId="7" fillId="4" borderId="3" xfId="3" applyNumberFormat="1" applyFont="1" applyFill="1" applyBorder="1" applyAlignment="1">
      <alignment horizontal="right"/>
    </xf>
    <xf numFmtId="41" fontId="8" fillId="3" borderId="2" xfId="3" applyFont="1" applyFill="1" applyBorder="1"/>
    <xf numFmtId="0" fontId="8" fillId="0" borderId="2" xfId="8" applyFont="1" applyBorder="1" applyAlignment="1">
      <alignment horizontal="left"/>
    </xf>
    <xf numFmtId="0" fontId="9" fillId="0" borderId="0" xfId="8" applyFont="1" applyAlignment="1">
      <alignment horizontal="right"/>
    </xf>
    <xf numFmtId="0" fontId="2" fillId="0" borderId="0" xfId="8" applyFont="1" applyAlignment="1">
      <alignment horizontal="left"/>
    </xf>
    <xf numFmtId="0" fontId="5" fillId="0" borderId="0" xfId="8" applyFont="1" applyAlignment="1">
      <alignment horizontal="left"/>
    </xf>
    <xf numFmtId="0" fontId="4" fillId="0" borderId="0" xfId="8" applyFont="1" applyAlignment="1">
      <alignment horizontal="left"/>
    </xf>
    <xf numFmtId="168" fontId="9" fillId="0" borderId="2" xfId="8" applyNumberFormat="1" applyFont="1" applyFill="1" applyBorder="1" applyAlignment="1">
      <alignment horizontal="right"/>
    </xf>
    <xf numFmtId="167" fontId="8" fillId="0" borderId="2" xfId="8" applyNumberFormat="1" applyFont="1" applyBorder="1" applyProtection="1"/>
    <xf numFmtId="0" fontId="8" fillId="0" borderId="0" xfId="8" applyFont="1" applyFill="1"/>
    <xf numFmtId="167" fontId="8" fillId="0" borderId="2" xfId="8" applyNumberFormat="1" applyFont="1" applyBorder="1" applyAlignment="1" applyProtection="1">
      <alignment horizontal="right"/>
    </xf>
    <xf numFmtId="167" fontId="8" fillId="0" borderId="5" xfId="8" applyNumberFormat="1" applyFont="1" applyBorder="1" applyProtection="1"/>
    <xf numFmtId="167" fontId="8" fillId="0" borderId="6" xfId="8" applyNumberFormat="1" applyFont="1" applyBorder="1" applyProtection="1"/>
    <xf numFmtId="0" fontId="6" fillId="5" borderId="3" xfId="8" applyFont="1" applyFill="1" applyBorder="1" applyAlignment="1">
      <alignment horizontal="left"/>
    </xf>
    <xf numFmtId="0" fontId="7" fillId="5" borderId="3" xfId="8" applyFont="1" applyFill="1" applyBorder="1" applyAlignment="1">
      <alignment horizontal="right"/>
    </xf>
    <xf numFmtId="0" fontId="7" fillId="5" borderId="3" xfId="8" applyFont="1" applyFill="1" applyBorder="1"/>
    <xf numFmtId="0" fontId="7" fillId="5" borderId="1" xfId="8" applyFont="1" applyFill="1" applyBorder="1" applyAlignment="1">
      <alignment horizontal="right"/>
    </xf>
    <xf numFmtId="0" fontId="17" fillId="3" borderId="0" xfId="8" applyFont="1" applyFill="1"/>
    <xf numFmtId="167" fontId="17" fillId="3" borderId="0" xfId="8" applyNumberFormat="1" applyFont="1" applyFill="1"/>
    <xf numFmtId="0" fontId="14" fillId="0" borderId="3" xfId="8" applyFont="1" applyFill="1" applyBorder="1" applyAlignment="1">
      <alignment horizontal="left" indent="3"/>
    </xf>
    <xf numFmtId="41" fontId="9" fillId="0" borderId="3" xfId="8" applyNumberFormat="1" applyFont="1" applyFill="1" applyBorder="1" applyAlignment="1">
      <alignment horizontal="center"/>
    </xf>
    <xf numFmtId="0" fontId="9" fillId="0" borderId="0" xfId="8" applyFont="1"/>
    <xf numFmtId="41" fontId="8" fillId="0" borderId="2" xfId="3" applyFont="1" applyFill="1" applyBorder="1" applyAlignment="1">
      <alignment horizontal="right"/>
    </xf>
    <xf numFmtId="169" fontId="9" fillId="0" borderId="3" xfId="2" applyNumberFormat="1" applyFont="1" applyFill="1" applyBorder="1"/>
    <xf numFmtId="169" fontId="14" fillId="0" borderId="3" xfId="2" applyNumberFormat="1" applyFont="1" applyFill="1" applyBorder="1"/>
    <xf numFmtId="0" fontId="14" fillId="5" borderId="2" xfId="8" applyFont="1" applyFill="1" applyBorder="1" applyAlignment="1">
      <alignment horizontal="right"/>
    </xf>
    <xf numFmtId="167" fontId="8" fillId="0" borderId="8" xfId="8" applyNumberFormat="1" applyFont="1" applyBorder="1" applyProtection="1"/>
    <xf numFmtId="167" fontId="8" fillId="0" borderId="5" xfId="8" applyNumberFormat="1" applyFont="1" applyBorder="1" applyAlignment="1" applyProtection="1">
      <alignment horizontal="right"/>
    </xf>
    <xf numFmtId="168" fontId="9" fillId="0" borderId="1" xfId="8" applyNumberFormat="1" applyFont="1" applyFill="1" applyBorder="1" applyAlignment="1">
      <alignment horizontal="right"/>
    </xf>
    <xf numFmtId="41" fontId="8" fillId="3" borderId="2" xfId="3" quotePrefix="1" applyFont="1" applyFill="1" applyBorder="1" applyAlignment="1">
      <alignment horizontal="right"/>
    </xf>
    <xf numFmtId="41" fontId="7" fillId="3" borderId="2" xfId="3" quotePrefix="1" applyFont="1" applyFill="1" applyBorder="1" applyAlignment="1">
      <alignment horizontal="right"/>
    </xf>
    <xf numFmtId="41" fontId="8" fillId="0" borderId="2" xfId="3" quotePrefix="1" applyNumberFormat="1" applyFont="1" applyBorder="1" applyAlignment="1">
      <alignment horizontal="right"/>
    </xf>
    <xf numFmtId="0" fontId="4" fillId="0" borderId="2" xfId="8" applyFont="1" applyBorder="1"/>
    <xf numFmtId="0" fontId="4" fillId="0" borderId="0" xfId="8" applyFont="1" applyAlignment="1">
      <alignment horizontal="center"/>
    </xf>
    <xf numFmtId="0" fontId="8" fillId="0" borderId="0" xfId="8" applyFont="1" applyAlignment="1">
      <alignment horizontal="center"/>
    </xf>
    <xf numFmtId="0" fontId="7" fillId="5" borderId="1" xfId="8" applyFont="1" applyFill="1" applyBorder="1" applyAlignment="1">
      <alignment horizontal="center"/>
    </xf>
    <xf numFmtId="0" fontId="14" fillId="5" borderId="2" xfId="8" applyFont="1" applyFill="1" applyBorder="1" applyAlignment="1">
      <alignment horizontal="center"/>
    </xf>
    <xf numFmtId="0" fontId="9" fillId="0" borderId="7" xfId="8" applyFont="1" applyFill="1" applyBorder="1" applyAlignment="1">
      <alignment horizontal="center" vertical="center"/>
    </xf>
    <xf numFmtId="0" fontId="9" fillId="0" borderId="4" xfId="8" applyFont="1" applyFill="1" applyBorder="1" applyAlignment="1">
      <alignment horizontal="center" vertical="center"/>
    </xf>
    <xf numFmtId="0" fontId="9" fillId="0" borderId="4" xfId="8" applyFont="1" applyBorder="1" applyAlignment="1">
      <alignment horizontal="center"/>
    </xf>
    <xf numFmtId="0" fontId="9" fillId="0" borderId="6" xfId="8" applyFont="1" applyBorder="1" applyAlignment="1">
      <alignment horizontal="center"/>
    </xf>
    <xf numFmtId="170" fontId="8" fillId="0" borderId="0" xfId="8" applyNumberFormat="1" applyFont="1"/>
    <xf numFmtId="171" fontId="8" fillId="0" borderId="6" xfId="8" applyNumberFormat="1" applyFont="1" applyBorder="1" applyProtection="1"/>
  </cellXfs>
  <cellStyles count="13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USTRK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>
                <a:solidFill>
                  <a:sysClr val="windowText" lastClr="000000"/>
                </a:solidFill>
              </a:rPr>
              <a:t>PORTOGALLO - Produzione Autoveicoli - Trend 1970-2019, (.000 di unità)
ANFIA su dati ACAP</a:t>
            </a:r>
          </a:p>
        </c:rich>
      </c:tx>
      <c:layout>
        <c:manualLayout>
          <c:xMode val="edge"/>
          <c:yMode val="edge"/>
          <c:x val="2.2752700799129499E-2"/>
          <c:y val="1.8930423033578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923690600181871E-2"/>
          <c:y val="0.17030192136522251"/>
          <c:w val="0.83852037531329349"/>
          <c:h val="0.62101389951537722"/>
        </c:manualLayout>
      </c:layout>
      <c:areaChart>
        <c:grouping val="standard"/>
        <c:varyColors val="0"/>
        <c:ser>
          <c:idx val="1"/>
          <c:order val="0"/>
          <c:spPr>
            <a:solidFill>
              <a:schemeClr val="accent1"/>
            </a:solidFill>
          </c:spPr>
          <c:cat>
            <c:numRef>
              <c:f>'Trend anni'!$A$16:$A$65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'Trend anni'!$D$16:$D$65</c:f>
              <c:numCache>
                <c:formatCode>#,##0.0_);\(#,##0.0\)</c:formatCode>
                <c:ptCount val="50"/>
                <c:pt idx="0">
                  <c:v>73.180000000000007</c:v>
                </c:pt>
                <c:pt idx="1">
                  <c:v>84.605000000000004</c:v>
                </c:pt>
                <c:pt idx="2">
                  <c:v>97.943000000000012</c:v>
                </c:pt>
                <c:pt idx="3">
                  <c:v>95.896000000000001</c:v>
                </c:pt>
                <c:pt idx="4">
                  <c:v>101.40599999999999</c:v>
                </c:pt>
                <c:pt idx="5">
                  <c:v>85.912000000000006</c:v>
                </c:pt>
                <c:pt idx="6">
                  <c:v>89.122</c:v>
                </c:pt>
                <c:pt idx="7">
                  <c:v>106.07600000000001</c:v>
                </c:pt>
                <c:pt idx="8">
                  <c:v>78.896999999999991</c:v>
                </c:pt>
                <c:pt idx="9">
                  <c:v>75.674999999999997</c:v>
                </c:pt>
                <c:pt idx="10">
                  <c:v>103.854</c:v>
                </c:pt>
                <c:pt idx="11">
                  <c:v>118.815</c:v>
                </c:pt>
                <c:pt idx="12">
                  <c:v>118.958</c:v>
                </c:pt>
                <c:pt idx="13">
                  <c:v>95.031000000000006</c:v>
                </c:pt>
                <c:pt idx="14">
                  <c:v>84.266999999999996</c:v>
                </c:pt>
                <c:pt idx="15">
                  <c:v>87.522999999999996</c:v>
                </c:pt>
                <c:pt idx="16">
                  <c:v>96.006</c:v>
                </c:pt>
                <c:pt idx="17">
                  <c:v>123.89700000000001</c:v>
                </c:pt>
                <c:pt idx="18">
                  <c:v>136.524</c:v>
                </c:pt>
                <c:pt idx="19">
                  <c:v>146.08699999999999</c:v>
                </c:pt>
                <c:pt idx="20">
                  <c:v>137.68699999999998</c:v>
                </c:pt>
                <c:pt idx="21">
                  <c:v>141.37700000000001</c:v>
                </c:pt>
                <c:pt idx="22">
                  <c:v>163.226</c:v>
                </c:pt>
                <c:pt idx="23">
                  <c:v>122.20699999999999</c:v>
                </c:pt>
                <c:pt idx="24">
                  <c:v>125.209</c:v>
                </c:pt>
                <c:pt idx="25">
                  <c:v>158.89499999999998</c:v>
                </c:pt>
                <c:pt idx="26">
                  <c:v>233.13200000000001</c:v>
                </c:pt>
                <c:pt idx="27">
                  <c:v>267.16300000000001</c:v>
                </c:pt>
                <c:pt idx="28">
                  <c:v>271.02999999999997</c:v>
                </c:pt>
                <c:pt idx="29">
                  <c:v>252.29000000000002</c:v>
                </c:pt>
                <c:pt idx="30">
                  <c:v>246.72399999999999</c:v>
                </c:pt>
                <c:pt idx="31">
                  <c:v>239.71899999999999</c:v>
                </c:pt>
                <c:pt idx="32">
                  <c:v>250.83199999999999</c:v>
                </c:pt>
                <c:pt idx="33">
                  <c:v>239.36099999999999</c:v>
                </c:pt>
                <c:pt idx="34">
                  <c:v>226.72800000000001</c:v>
                </c:pt>
                <c:pt idx="35">
                  <c:v>221.06</c:v>
                </c:pt>
                <c:pt idx="36">
                  <c:v>227.32499999999999</c:v>
                </c:pt>
                <c:pt idx="37">
                  <c:v>176.24199999999999</c:v>
                </c:pt>
                <c:pt idx="38">
                  <c:v>175.15499999999997</c:v>
                </c:pt>
                <c:pt idx="39">
                  <c:v>126.01500000000001</c:v>
                </c:pt>
                <c:pt idx="40">
                  <c:v>158.72899999999998</c:v>
                </c:pt>
                <c:pt idx="41">
                  <c:v>192.24199999999999</c:v>
                </c:pt>
                <c:pt idx="42">
                  <c:v>163.56100000000001</c:v>
                </c:pt>
                <c:pt idx="43">
                  <c:v>154.01599999999999</c:v>
                </c:pt>
                <c:pt idx="44">
                  <c:v>161.50900000000001</c:v>
                </c:pt>
                <c:pt idx="45">
                  <c:v>156.626</c:v>
                </c:pt>
                <c:pt idx="46">
                  <c:v>143.096</c:v>
                </c:pt>
                <c:pt idx="47">
                  <c:v>175.54400000000001</c:v>
                </c:pt>
                <c:pt idx="48">
                  <c:v>294.351</c:v>
                </c:pt>
                <c:pt idx="49">
                  <c:v>345.70400000000001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AB-4310-BCDC-0034C2F83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280100616"/>
        <c:axId val="1"/>
      </c:areaChart>
      <c:catAx>
        <c:axId val="280100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280100616"/>
        <c:crosses val="autoZero"/>
        <c:crossBetween val="midCat"/>
        <c:majorUnit val="1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9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38100</xdr:rowOff>
    </xdr:from>
    <xdr:to>
      <xdr:col>0</xdr:col>
      <xdr:colOff>977900</xdr:colOff>
      <xdr:row>3</xdr:row>
      <xdr:rowOff>96153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CD678B35-2566-4200-AD44-3D7774616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38100"/>
          <a:ext cx="863600" cy="5533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53973</xdr:colOff>
      <xdr:row>0</xdr:row>
      <xdr:rowOff>38101</xdr:rowOff>
    </xdr:from>
    <xdr:to>
      <xdr:col>0</xdr:col>
      <xdr:colOff>832429</xdr:colOff>
      <xdr:row>3</xdr:row>
      <xdr:rowOff>251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DDAF4BE-3625-4E03-B064-9B4D724B4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73" y="38101"/>
          <a:ext cx="778456" cy="54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58116" cy="606471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2CBB1E3-2272-436F-A51F-B666C8EF361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0.78406</cdr:x>
      <cdr:y>0.14977</cdr:y>
    </cdr:from>
    <cdr:to>
      <cdr:x>0.93915</cdr:x>
      <cdr:y>0.2415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251708" y="905545"/>
          <a:ext cx="1434414" cy="554628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2019: 345.704</a:t>
          </a:r>
          <a:r>
            <a:rPr lang="it-IT" sz="1100" b="1" baseline="0">
              <a:solidFill>
                <a:schemeClr val="bg1"/>
              </a:solidFill>
              <a:latin typeface="Trebuchet MS" panose="020B0603020202020204" pitchFamily="34" charset="0"/>
            </a:rPr>
            <a:t> unità</a:t>
          </a:r>
          <a:endParaRPr lang="it-IT" sz="1100" b="1">
            <a:solidFill>
              <a:schemeClr val="bg1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0.81962</cdr:x>
      <cdr:y>0.00563</cdr:y>
    </cdr:from>
    <cdr:to>
      <cdr:x>0.90289</cdr:x>
      <cdr:y>0.08254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A3C04170-A47F-4936-86F6-E727367BFE67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9121698" y="41030"/>
          <a:ext cx="926730" cy="5606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autoincifre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57"/>
  <sheetViews>
    <sheetView showGridLines="0" tabSelected="1" zoomScaleNormal="100" zoomScaleSheetLayoutView="40" workbookViewId="0">
      <pane ySplit="6" topLeftCell="A7" activePane="bottomLeft" state="frozen"/>
      <selection pane="bottomLeft"/>
    </sheetView>
  </sheetViews>
  <sheetFormatPr defaultColWidth="9.140625" defaultRowHeight="15"/>
  <cols>
    <col min="1" max="1" width="34.5703125" style="3" customWidth="1"/>
    <col min="2" max="11" width="9" style="3" hidden="1" customWidth="1"/>
    <col min="12" max="18" width="9" style="3" customWidth="1"/>
    <col min="19" max="16384" width="9.140625" style="3"/>
  </cols>
  <sheetData>
    <row r="2" spans="1:21" s="2" customFormat="1">
      <c r="B2" s="1" t="s">
        <v>0</v>
      </c>
      <c r="L2" s="1" t="s">
        <v>0</v>
      </c>
    </row>
    <row r="3" spans="1:21" s="2" customFormat="1">
      <c r="B3" s="1" t="s">
        <v>42</v>
      </c>
      <c r="L3" s="1" t="s">
        <v>42</v>
      </c>
    </row>
    <row r="6" spans="1:21">
      <c r="A6" s="52"/>
      <c r="B6" s="53">
        <v>2000</v>
      </c>
      <c r="C6" s="53">
        <v>2001</v>
      </c>
      <c r="D6" s="53">
        <v>2002</v>
      </c>
      <c r="E6" s="53">
        <v>2003</v>
      </c>
      <c r="F6" s="53">
        <v>2004</v>
      </c>
      <c r="G6" s="53">
        <v>2005</v>
      </c>
      <c r="H6" s="53">
        <v>2006</v>
      </c>
      <c r="I6" s="53">
        <v>2007</v>
      </c>
      <c r="J6" s="54">
        <v>2008</v>
      </c>
      <c r="K6" s="53">
        <v>2009</v>
      </c>
      <c r="L6" s="53">
        <v>2010</v>
      </c>
      <c r="M6" s="53">
        <v>2011</v>
      </c>
      <c r="N6" s="53">
        <v>2012</v>
      </c>
      <c r="O6" s="53">
        <v>2013</v>
      </c>
      <c r="P6" s="53">
        <v>2014</v>
      </c>
      <c r="Q6" s="53">
        <v>2015</v>
      </c>
      <c r="R6" s="53">
        <v>2016</v>
      </c>
      <c r="S6" s="53">
        <v>2017</v>
      </c>
      <c r="T6" s="53">
        <v>2018</v>
      </c>
      <c r="U6" s="53">
        <v>2019</v>
      </c>
    </row>
    <row r="7" spans="1:21" ht="15.75">
      <c r="A7" s="4" t="s">
        <v>1</v>
      </c>
      <c r="B7" s="5"/>
      <c r="C7" s="5"/>
      <c r="D7" s="5"/>
      <c r="E7" s="5"/>
      <c r="F7" s="6"/>
      <c r="G7" s="6"/>
      <c r="H7" s="7"/>
      <c r="I7" s="7"/>
      <c r="J7" s="5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s="14" customFormat="1">
      <c r="A8" s="8" t="s">
        <v>2</v>
      </c>
      <c r="B8" s="9">
        <f>SUM(B9:B10)</f>
        <v>33646</v>
      </c>
      <c r="C8" s="9">
        <f t="shared" ref="C8:J8" si="0">+C10</f>
        <v>22690</v>
      </c>
      <c r="D8" s="9">
        <f t="shared" si="0"/>
        <v>21541</v>
      </c>
      <c r="E8" s="10">
        <f t="shared" si="0"/>
        <v>22294</v>
      </c>
      <c r="F8" s="11">
        <f t="shared" si="0"/>
        <v>21794</v>
      </c>
      <c r="G8" s="11">
        <f t="shared" si="0"/>
        <v>22397</v>
      </c>
      <c r="H8" s="12">
        <f t="shared" si="0"/>
        <v>23582</v>
      </c>
      <c r="I8" s="12">
        <f t="shared" si="0"/>
        <v>27757</v>
      </c>
      <c r="J8" s="12">
        <f t="shared" si="0"/>
        <v>20516</v>
      </c>
      <c r="K8" s="12">
        <f>+K10</f>
        <v>9974</v>
      </c>
      <c r="L8" s="13">
        <f>+L10</f>
        <v>6883</v>
      </c>
      <c r="M8" s="13">
        <v>3679</v>
      </c>
      <c r="N8" s="13">
        <v>1451</v>
      </c>
      <c r="O8" s="13">
        <v>8802</v>
      </c>
      <c r="P8" s="13">
        <v>6934</v>
      </c>
      <c r="Q8" s="13">
        <f>+Q10</f>
        <v>7220</v>
      </c>
      <c r="R8" s="13">
        <f>+R10</f>
        <v>6523</v>
      </c>
      <c r="S8" s="13">
        <f>+S10</f>
        <v>5784</v>
      </c>
      <c r="T8" s="13">
        <v>6339</v>
      </c>
      <c r="U8" s="13"/>
    </row>
    <row r="9" spans="1:21">
      <c r="A9" s="15" t="s">
        <v>4</v>
      </c>
      <c r="B9" s="21">
        <v>24638</v>
      </c>
      <c r="C9" s="16" t="s">
        <v>3</v>
      </c>
      <c r="D9" s="16" t="s">
        <v>3</v>
      </c>
      <c r="E9" s="17" t="s">
        <v>3</v>
      </c>
      <c r="F9" s="18" t="s">
        <v>3</v>
      </c>
      <c r="G9" s="18" t="s">
        <v>3</v>
      </c>
      <c r="H9" s="18" t="s">
        <v>3</v>
      </c>
      <c r="I9" s="18" t="s">
        <v>3</v>
      </c>
      <c r="J9" s="18" t="s">
        <v>3</v>
      </c>
      <c r="K9" s="18" t="s">
        <v>3</v>
      </c>
      <c r="L9" s="19" t="s">
        <v>3</v>
      </c>
      <c r="M9" s="19" t="s">
        <v>3</v>
      </c>
      <c r="N9" s="19" t="s">
        <v>3</v>
      </c>
      <c r="O9" s="19" t="s">
        <v>3</v>
      </c>
      <c r="P9" s="19" t="s">
        <v>3</v>
      </c>
      <c r="Q9" s="19" t="s">
        <v>3</v>
      </c>
      <c r="R9" s="19" t="s">
        <v>3</v>
      </c>
      <c r="S9" s="19" t="s">
        <v>3</v>
      </c>
      <c r="T9" s="19">
        <v>0</v>
      </c>
      <c r="U9" s="19"/>
    </row>
    <row r="10" spans="1:21">
      <c r="A10" s="15" t="s">
        <v>5</v>
      </c>
      <c r="B10" s="21">
        <f>7571+1437</f>
        <v>9008</v>
      </c>
      <c r="C10" s="21">
        <v>22690</v>
      </c>
      <c r="D10" s="21">
        <v>21541</v>
      </c>
      <c r="E10" s="17">
        <v>22294</v>
      </c>
      <c r="F10" s="22">
        <v>21794</v>
      </c>
      <c r="G10" s="18">
        <v>22397</v>
      </c>
      <c r="H10" s="23">
        <v>23582</v>
      </c>
      <c r="I10" s="23">
        <v>27757</v>
      </c>
      <c r="J10" s="23">
        <v>20516</v>
      </c>
      <c r="K10" s="23">
        <v>9974</v>
      </c>
      <c r="L10" s="24">
        <v>6883</v>
      </c>
      <c r="M10" s="24">
        <v>3679</v>
      </c>
      <c r="N10" s="24">
        <v>1451</v>
      </c>
      <c r="O10" s="24">
        <v>8802</v>
      </c>
      <c r="P10" s="24">
        <v>6934</v>
      </c>
      <c r="Q10" s="24">
        <v>7220</v>
      </c>
      <c r="R10" s="24">
        <v>6523</v>
      </c>
      <c r="S10" s="24">
        <v>5784</v>
      </c>
      <c r="T10" s="24">
        <v>6339</v>
      </c>
      <c r="U10" s="24"/>
    </row>
    <row r="11" spans="1:21">
      <c r="A11" s="15"/>
      <c r="B11" s="21"/>
      <c r="C11" s="21"/>
      <c r="D11" s="21"/>
      <c r="E11" s="17"/>
      <c r="F11" s="22"/>
      <c r="G11" s="18"/>
      <c r="H11" s="23"/>
      <c r="I11" s="23"/>
      <c r="J11" s="23"/>
      <c r="K11" s="23"/>
      <c r="L11" s="24"/>
      <c r="M11" s="24"/>
      <c r="N11" s="24"/>
      <c r="O11" s="24"/>
      <c r="P11" s="24"/>
      <c r="Q11" s="24"/>
      <c r="R11" s="24"/>
      <c r="S11" s="24"/>
      <c r="T11" s="24"/>
      <c r="U11" s="24"/>
    </row>
    <row r="12" spans="1:21">
      <c r="A12" s="8" t="s">
        <v>6</v>
      </c>
      <c r="B12" s="9">
        <f t="shared" ref="B12:L12" si="1">B13</f>
        <v>3698</v>
      </c>
      <c r="C12" s="9">
        <f t="shared" si="1"/>
        <v>12198</v>
      </c>
      <c r="D12" s="9">
        <f t="shared" si="1"/>
        <v>12260</v>
      </c>
      <c r="E12" s="10">
        <f t="shared" si="1"/>
        <v>15111</v>
      </c>
      <c r="F12" s="11">
        <f t="shared" si="1"/>
        <v>13317</v>
      </c>
      <c r="G12" s="11">
        <f t="shared" si="1"/>
        <v>9885</v>
      </c>
      <c r="H12" s="12">
        <f t="shared" si="1"/>
        <v>10258</v>
      </c>
      <c r="I12" s="12">
        <f t="shared" si="1"/>
        <v>12681</v>
      </c>
      <c r="J12" s="12">
        <f t="shared" si="1"/>
        <v>17626</v>
      </c>
      <c r="K12" s="12">
        <f t="shared" si="1"/>
        <v>5698</v>
      </c>
      <c r="L12" s="13">
        <f t="shared" si="1"/>
        <v>6395</v>
      </c>
      <c r="M12" s="13">
        <v>5000</v>
      </c>
      <c r="N12" s="13">
        <v>1734</v>
      </c>
      <c r="O12" s="13">
        <v>9696</v>
      </c>
      <c r="P12" s="13">
        <v>8560</v>
      </c>
      <c r="Q12" s="13">
        <f>+Q13</f>
        <v>6090</v>
      </c>
      <c r="R12" s="13">
        <f>+R13</f>
        <v>7551</v>
      </c>
      <c r="S12" s="13">
        <f>+S13</f>
        <v>10386</v>
      </c>
      <c r="T12" s="13">
        <v>6890</v>
      </c>
      <c r="U12" s="13"/>
    </row>
    <row r="13" spans="1:21" s="20" customFormat="1">
      <c r="A13" s="15" t="s">
        <v>7</v>
      </c>
      <c r="B13" s="21">
        <v>3698</v>
      </c>
      <c r="C13" s="21">
        <v>12198</v>
      </c>
      <c r="D13" s="21">
        <v>12260</v>
      </c>
      <c r="E13" s="17">
        <v>15111</v>
      </c>
      <c r="F13" s="22">
        <v>13317</v>
      </c>
      <c r="G13" s="18">
        <v>9885</v>
      </c>
      <c r="H13" s="23">
        <v>10258</v>
      </c>
      <c r="I13" s="23">
        <v>12681</v>
      </c>
      <c r="J13" s="23">
        <v>17626</v>
      </c>
      <c r="K13" s="23">
        <v>5698</v>
      </c>
      <c r="L13" s="24">
        <v>6395</v>
      </c>
      <c r="M13" s="24">
        <v>5000</v>
      </c>
      <c r="N13" s="24">
        <v>1734</v>
      </c>
      <c r="O13" s="24">
        <v>9696</v>
      </c>
      <c r="P13" s="24">
        <v>8560</v>
      </c>
      <c r="Q13" s="24">
        <v>6090</v>
      </c>
      <c r="R13" s="24">
        <v>7551</v>
      </c>
      <c r="S13" s="24">
        <v>10386</v>
      </c>
      <c r="T13" s="24">
        <v>6890</v>
      </c>
      <c r="U13" s="24"/>
    </row>
    <row r="14" spans="1:21" s="20" customFormat="1">
      <c r="A14" s="15"/>
      <c r="B14" s="21"/>
      <c r="C14" s="21"/>
      <c r="D14" s="21"/>
      <c r="E14" s="17"/>
      <c r="F14" s="22"/>
      <c r="G14" s="18"/>
      <c r="H14" s="23"/>
      <c r="I14" s="23"/>
      <c r="J14" s="23"/>
      <c r="K14" s="23"/>
      <c r="L14" s="24"/>
      <c r="M14" s="24"/>
      <c r="N14" s="24"/>
      <c r="O14" s="24"/>
      <c r="P14" s="24"/>
      <c r="Q14" s="24"/>
      <c r="R14" s="24"/>
      <c r="S14" s="24"/>
      <c r="T14" s="24"/>
      <c r="U14" s="24"/>
    </row>
    <row r="15" spans="1:21" s="20" customFormat="1">
      <c r="A15" s="8" t="s">
        <v>8</v>
      </c>
      <c r="B15" s="9">
        <f t="shared" ref="B15:H15" si="2">SUM(B16:B17)</f>
        <v>15425</v>
      </c>
      <c r="C15" s="9">
        <f t="shared" si="2"/>
        <v>5711</v>
      </c>
      <c r="D15" s="9">
        <f t="shared" si="2"/>
        <v>18767</v>
      </c>
      <c r="E15" s="10">
        <f t="shared" si="2"/>
        <v>18487</v>
      </c>
      <c r="F15" s="11">
        <f t="shared" si="2"/>
        <v>20010</v>
      </c>
      <c r="G15" s="11">
        <f t="shared" si="2"/>
        <v>25871</v>
      </c>
      <c r="H15" s="12">
        <f t="shared" si="2"/>
        <v>27806</v>
      </c>
      <c r="I15" s="11">
        <v>0</v>
      </c>
      <c r="J15" s="10">
        <v>0</v>
      </c>
      <c r="K15" s="11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69" t="s">
        <v>3</v>
      </c>
      <c r="T15" s="69">
        <v>0</v>
      </c>
      <c r="U15" s="69"/>
    </row>
    <row r="16" spans="1:21">
      <c r="A16" s="15" t="s">
        <v>9</v>
      </c>
      <c r="B16" s="21">
        <f>74+6474+31+3106+127+625+35</f>
        <v>10472</v>
      </c>
      <c r="C16" s="21">
        <f>29+2094+106+1657+32+216+46</f>
        <v>4180</v>
      </c>
      <c r="D16" s="16">
        <v>18</v>
      </c>
      <c r="E16" s="17" t="s">
        <v>3</v>
      </c>
      <c r="F16" s="18" t="s">
        <v>3</v>
      </c>
      <c r="G16" s="18" t="s">
        <v>3</v>
      </c>
      <c r="H16" s="18" t="s">
        <v>3</v>
      </c>
      <c r="I16" s="18" t="s">
        <v>3</v>
      </c>
      <c r="J16" s="18" t="s">
        <v>3</v>
      </c>
      <c r="K16" s="18" t="s">
        <v>3</v>
      </c>
      <c r="L16" s="19" t="s">
        <v>3</v>
      </c>
      <c r="M16" s="19" t="s">
        <v>3</v>
      </c>
      <c r="N16" s="19" t="s">
        <v>3</v>
      </c>
      <c r="O16" s="19" t="s">
        <v>3</v>
      </c>
      <c r="P16" s="19" t="s">
        <v>3</v>
      </c>
      <c r="Q16" s="19" t="s">
        <v>3</v>
      </c>
      <c r="R16" s="19" t="s">
        <v>3</v>
      </c>
      <c r="S16" s="19" t="s">
        <v>3</v>
      </c>
      <c r="T16" s="19">
        <v>0</v>
      </c>
      <c r="U16" s="19"/>
    </row>
    <row r="17" spans="1:21">
      <c r="A17" s="15" t="s">
        <v>10</v>
      </c>
      <c r="B17" s="21">
        <f>711+2885+336+1021</f>
        <v>4953</v>
      </c>
      <c r="C17" s="21">
        <f>57+1474</f>
        <v>1531</v>
      </c>
      <c r="D17" s="21">
        <v>18749</v>
      </c>
      <c r="E17" s="17">
        <v>18487</v>
      </c>
      <c r="F17" s="22">
        <v>20010</v>
      </c>
      <c r="G17" s="18">
        <v>25871</v>
      </c>
      <c r="H17" s="23">
        <v>27806</v>
      </c>
      <c r="I17" s="18" t="s">
        <v>3</v>
      </c>
      <c r="J17" s="18" t="s">
        <v>3</v>
      </c>
      <c r="K17" s="18" t="s">
        <v>3</v>
      </c>
      <c r="L17" s="19" t="s">
        <v>3</v>
      </c>
      <c r="M17" s="19" t="s">
        <v>3</v>
      </c>
      <c r="N17" s="19" t="s">
        <v>3</v>
      </c>
      <c r="O17" s="19" t="s">
        <v>3</v>
      </c>
      <c r="P17" s="19" t="s">
        <v>3</v>
      </c>
      <c r="Q17" s="19" t="s">
        <v>3</v>
      </c>
      <c r="R17" s="19" t="s">
        <v>3</v>
      </c>
      <c r="S17" s="19" t="s">
        <v>3</v>
      </c>
      <c r="T17" s="19">
        <v>0</v>
      </c>
      <c r="U17" s="19"/>
    </row>
    <row r="18" spans="1:21">
      <c r="A18" s="15"/>
      <c r="B18" s="21"/>
      <c r="C18" s="21"/>
      <c r="D18" s="21"/>
      <c r="E18" s="17"/>
      <c r="F18" s="22"/>
      <c r="G18" s="18"/>
      <c r="H18" s="23"/>
      <c r="I18" s="23"/>
      <c r="J18" s="23"/>
      <c r="K18" s="23"/>
      <c r="L18" s="24"/>
      <c r="M18" s="24"/>
      <c r="N18" s="24"/>
      <c r="O18" s="24"/>
      <c r="P18" s="24"/>
      <c r="Q18" s="24"/>
      <c r="R18" s="24"/>
      <c r="S18" s="24"/>
      <c r="T18" s="24"/>
      <c r="U18" s="24"/>
    </row>
    <row r="19" spans="1:21">
      <c r="A19" s="8" t="s">
        <v>11</v>
      </c>
      <c r="B19" s="9">
        <f t="shared" ref="B19:G19" si="3">B20</f>
        <v>51766</v>
      </c>
      <c r="C19" s="9">
        <f t="shared" si="3"/>
        <v>56337</v>
      </c>
      <c r="D19" s="9">
        <f t="shared" si="3"/>
        <v>58385</v>
      </c>
      <c r="E19" s="10">
        <f t="shared" si="3"/>
        <v>46063</v>
      </c>
      <c r="F19" s="11">
        <f t="shared" si="3"/>
        <v>38583</v>
      </c>
      <c r="G19" s="11">
        <f t="shared" si="3"/>
        <v>32575</v>
      </c>
      <c r="H19" s="12">
        <f>SUM(H20:H21)</f>
        <v>66285</v>
      </c>
      <c r="I19" s="12">
        <f>SUM(I20:I21)</f>
        <v>79367</v>
      </c>
      <c r="J19" s="12">
        <f t="shared" ref="J19:Q19" si="4">SUM(J20:J22)</f>
        <v>83818</v>
      </c>
      <c r="K19" s="12">
        <f t="shared" si="4"/>
        <v>79793</v>
      </c>
      <c r="L19" s="13">
        <f t="shared" si="4"/>
        <v>91235</v>
      </c>
      <c r="M19" s="13">
        <f t="shared" si="4"/>
        <v>114960</v>
      </c>
      <c r="N19" s="13">
        <f t="shared" si="4"/>
        <v>93157</v>
      </c>
      <c r="O19" s="13">
        <f t="shared" si="4"/>
        <v>71210</v>
      </c>
      <c r="P19" s="13">
        <f t="shared" si="4"/>
        <v>79638</v>
      </c>
      <c r="Q19" s="13">
        <f t="shared" si="4"/>
        <v>74233</v>
      </c>
      <c r="R19" s="13">
        <f>SUM(R20:R22)</f>
        <v>53912</v>
      </c>
      <c r="S19" s="13">
        <f>SUM(S20:S23)</f>
        <v>76618</v>
      </c>
      <c r="T19" s="13">
        <v>201334</v>
      </c>
      <c r="U19" s="13"/>
    </row>
    <row r="20" spans="1:21">
      <c r="A20" s="15" t="s">
        <v>12</v>
      </c>
      <c r="B20" s="21">
        <v>51766</v>
      </c>
      <c r="C20" s="21">
        <v>56337</v>
      </c>
      <c r="D20" s="21">
        <v>58385</v>
      </c>
      <c r="E20" s="17">
        <v>46063</v>
      </c>
      <c r="F20" s="22">
        <v>38583</v>
      </c>
      <c r="G20" s="18">
        <v>32575</v>
      </c>
      <c r="H20" s="23">
        <v>26851</v>
      </c>
      <c r="I20" s="23">
        <v>23807</v>
      </c>
      <c r="J20" s="23">
        <v>19703</v>
      </c>
      <c r="K20" s="23">
        <v>14636</v>
      </c>
      <c r="L20" s="24">
        <v>23230</v>
      </c>
      <c r="M20" s="61">
        <v>49968</v>
      </c>
      <c r="N20" s="61">
        <v>48399</v>
      </c>
      <c r="O20" s="19">
        <v>40159</v>
      </c>
      <c r="P20" s="19">
        <v>49498</v>
      </c>
      <c r="Q20" s="19">
        <v>53423</v>
      </c>
      <c r="R20" s="19">
        <v>41949</v>
      </c>
      <c r="S20" s="19">
        <v>45695</v>
      </c>
      <c r="T20" s="19">
        <v>0</v>
      </c>
      <c r="U20" s="19"/>
    </row>
    <row r="21" spans="1:21">
      <c r="A21" s="15" t="s">
        <v>13</v>
      </c>
      <c r="B21" s="16" t="s">
        <v>3</v>
      </c>
      <c r="C21" s="16" t="s">
        <v>3</v>
      </c>
      <c r="D21" s="16" t="s">
        <v>3</v>
      </c>
      <c r="E21" s="16" t="s">
        <v>3</v>
      </c>
      <c r="F21" s="16" t="s">
        <v>3</v>
      </c>
      <c r="G21" s="16" t="s">
        <v>3</v>
      </c>
      <c r="H21" s="23">
        <v>39434</v>
      </c>
      <c r="I21" s="23">
        <v>55560</v>
      </c>
      <c r="J21" s="23">
        <v>43578</v>
      </c>
      <c r="K21" s="23">
        <v>17880</v>
      </c>
      <c r="L21" s="24">
        <v>22775</v>
      </c>
      <c r="M21" s="61">
        <v>22511</v>
      </c>
      <c r="N21" s="61">
        <v>11138</v>
      </c>
      <c r="O21" s="19">
        <v>7651</v>
      </c>
      <c r="P21" s="19">
        <v>6567</v>
      </c>
      <c r="Q21" s="19">
        <v>4559</v>
      </c>
      <c r="R21" s="19" t="s">
        <v>3</v>
      </c>
      <c r="S21" s="19" t="s">
        <v>3</v>
      </c>
      <c r="T21" s="19">
        <v>0</v>
      </c>
      <c r="U21" s="19"/>
    </row>
    <row r="22" spans="1:21">
      <c r="A22" s="15" t="s">
        <v>14</v>
      </c>
      <c r="B22" s="16" t="s">
        <v>3</v>
      </c>
      <c r="C22" s="16" t="s">
        <v>3</v>
      </c>
      <c r="D22" s="16" t="s">
        <v>3</v>
      </c>
      <c r="E22" s="16" t="s">
        <v>3</v>
      </c>
      <c r="F22" s="16" t="s">
        <v>3</v>
      </c>
      <c r="G22" s="16" t="s">
        <v>3</v>
      </c>
      <c r="H22" s="16" t="s">
        <v>3</v>
      </c>
      <c r="I22" s="16" t="s">
        <v>3</v>
      </c>
      <c r="J22" s="23">
        <v>20537</v>
      </c>
      <c r="K22" s="16">
        <v>47277</v>
      </c>
      <c r="L22" s="26">
        <v>45230</v>
      </c>
      <c r="M22" s="61">
        <v>42481</v>
      </c>
      <c r="N22" s="61">
        <v>33620</v>
      </c>
      <c r="O22" s="19">
        <v>23400</v>
      </c>
      <c r="P22" s="19">
        <v>23573</v>
      </c>
      <c r="Q22" s="19">
        <v>16251</v>
      </c>
      <c r="R22" s="19">
        <v>11963</v>
      </c>
      <c r="S22" s="19">
        <v>8199</v>
      </c>
      <c r="T22" s="19">
        <v>0</v>
      </c>
      <c r="U22" s="19"/>
    </row>
    <row r="23" spans="1:21">
      <c r="A23" s="15" t="s">
        <v>44</v>
      </c>
      <c r="B23" s="70" t="s">
        <v>3</v>
      </c>
      <c r="C23" s="70" t="s">
        <v>3</v>
      </c>
      <c r="D23" s="70" t="s">
        <v>3</v>
      </c>
      <c r="E23" s="70" t="s">
        <v>3</v>
      </c>
      <c r="F23" s="70" t="s">
        <v>3</v>
      </c>
      <c r="G23" s="70" t="s">
        <v>3</v>
      </c>
      <c r="H23" s="70" t="s">
        <v>3</v>
      </c>
      <c r="I23" s="70" t="s">
        <v>3</v>
      </c>
      <c r="J23" s="70" t="s">
        <v>3</v>
      </c>
      <c r="K23" s="70" t="s">
        <v>3</v>
      </c>
      <c r="L23" s="70" t="s">
        <v>3</v>
      </c>
      <c r="M23" s="70" t="s">
        <v>3</v>
      </c>
      <c r="N23" s="70" t="s">
        <v>3</v>
      </c>
      <c r="O23" s="70" t="s">
        <v>3</v>
      </c>
      <c r="P23" s="70" t="s">
        <v>3</v>
      </c>
      <c r="Q23" s="70" t="s">
        <v>3</v>
      </c>
      <c r="R23" s="68" t="s">
        <v>3</v>
      </c>
      <c r="S23" s="19">
        <v>22724</v>
      </c>
      <c r="T23" s="19">
        <v>0</v>
      </c>
      <c r="U23" s="19"/>
    </row>
    <row r="24" spans="1:21">
      <c r="A24" s="15"/>
      <c r="B24" s="21"/>
      <c r="C24" s="21"/>
      <c r="D24" s="21"/>
      <c r="E24" s="17"/>
      <c r="F24" s="22"/>
      <c r="G24" s="18"/>
      <c r="H24" s="23"/>
      <c r="I24" s="23"/>
      <c r="J24" s="23"/>
      <c r="K24" s="23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spans="1:21">
      <c r="A25" s="8" t="s">
        <v>15</v>
      </c>
      <c r="B25" s="9">
        <f t="shared" ref="B25:H25" si="5">B26</f>
        <v>50115</v>
      </c>
      <c r="C25" s="9">
        <f t="shared" si="5"/>
        <v>53897</v>
      </c>
      <c r="D25" s="9">
        <f t="shared" si="5"/>
        <v>45312</v>
      </c>
      <c r="E25" s="10">
        <f t="shared" si="5"/>
        <v>39918</v>
      </c>
      <c r="F25" s="11">
        <f t="shared" si="5"/>
        <v>35497</v>
      </c>
      <c r="G25" s="11">
        <f t="shared" si="5"/>
        <v>31972</v>
      </c>
      <c r="H25" s="12">
        <f t="shared" si="5"/>
        <v>1194</v>
      </c>
      <c r="I25" s="11">
        <v>0</v>
      </c>
      <c r="J25" s="10">
        <v>0</v>
      </c>
      <c r="K25" s="11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/>
    </row>
    <row r="26" spans="1:21">
      <c r="A26" s="15" t="s">
        <v>16</v>
      </c>
      <c r="B26" s="21">
        <v>50115</v>
      </c>
      <c r="C26" s="21">
        <v>53897</v>
      </c>
      <c r="D26" s="21">
        <v>45312</v>
      </c>
      <c r="E26" s="17">
        <v>39918</v>
      </c>
      <c r="F26" s="22">
        <v>35497</v>
      </c>
      <c r="G26" s="18">
        <v>31972</v>
      </c>
      <c r="H26" s="23">
        <v>1194</v>
      </c>
      <c r="I26" s="16" t="s">
        <v>3</v>
      </c>
      <c r="J26" s="18" t="s">
        <v>3</v>
      </c>
      <c r="K26" s="16" t="s">
        <v>3</v>
      </c>
      <c r="L26" s="26" t="s">
        <v>3</v>
      </c>
      <c r="M26" s="26" t="s">
        <v>3</v>
      </c>
      <c r="N26" s="26" t="s">
        <v>3</v>
      </c>
      <c r="O26" s="26" t="s">
        <v>3</v>
      </c>
      <c r="P26" s="26" t="s">
        <v>3</v>
      </c>
      <c r="Q26" s="26" t="s">
        <v>3</v>
      </c>
      <c r="R26" s="26" t="s">
        <v>3</v>
      </c>
      <c r="S26" s="26" t="s">
        <v>3</v>
      </c>
      <c r="T26" s="26">
        <v>0</v>
      </c>
      <c r="U26" s="26"/>
    </row>
    <row r="27" spans="1:21">
      <c r="A27" s="15"/>
      <c r="B27" s="21"/>
      <c r="C27" s="21"/>
      <c r="D27" s="21"/>
      <c r="E27" s="17"/>
      <c r="F27" s="22"/>
      <c r="G27" s="18"/>
      <c r="H27" s="23"/>
      <c r="I27" s="23"/>
      <c r="J27" s="23"/>
      <c r="K27" s="23"/>
      <c r="L27" s="24"/>
      <c r="M27" s="24"/>
      <c r="N27" s="24"/>
      <c r="O27" s="24"/>
      <c r="P27" s="24"/>
      <c r="Q27" s="24"/>
      <c r="R27" s="24"/>
      <c r="S27" s="24"/>
      <c r="T27" s="24"/>
      <c r="U27" s="24"/>
    </row>
    <row r="28" spans="1:21">
      <c r="A28" s="8" t="s">
        <v>17</v>
      </c>
      <c r="B28" s="9">
        <f t="shared" ref="B28:N28" si="6">B29</f>
        <v>23859</v>
      </c>
      <c r="C28" s="9">
        <f t="shared" si="6"/>
        <v>26524</v>
      </c>
      <c r="D28" s="9">
        <f t="shared" si="6"/>
        <v>26308</v>
      </c>
      <c r="E28" s="10">
        <f t="shared" si="6"/>
        <v>23703</v>
      </c>
      <c r="F28" s="11">
        <f t="shared" si="6"/>
        <v>21580</v>
      </c>
      <c r="G28" s="11">
        <f t="shared" si="6"/>
        <v>14902</v>
      </c>
      <c r="H28" s="12">
        <f t="shared" si="6"/>
        <v>14353</v>
      </c>
      <c r="I28" s="12">
        <f t="shared" si="6"/>
        <v>14242</v>
      </c>
      <c r="J28" s="12">
        <f t="shared" si="6"/>
        <v>10282</v>
      </c>
      <c r="K28" s="12">
        <f t="shared" si="6"/>
        <v>6215</v>
      </c>
      <c r="L28" s="13">
        <f t="shared" si="6"/>
        <v>10050</v>
      </c>
      <c r="M28" s="13">
        <f t="shared" si="6"/>
        <v>18139</v>
      </c>
      <c r="N28" s="13">
        <f t="shared" si="6"/>
        <v>19393</v>
      </c>
      <c r="O28" s="13">
        <v>19990</v>
      </c>
      <c r="P28" s="13">
        <v>22612</v>
      </c>
      <c r="Q28" s="13">
        <f>+Q29</f>
        <v>27925</v>
      </c>
      <c r="R28" s="13">
        <f>+R29</f>
        <v>31214</v>
      </c>
      <c r="S28" s="13">
        <f>+S29</f>
        <v>33638</v>
      </c>
      <c r="T28" s="13">
        <v>19588</v>
      </c>
      <c r="U28" s="13"/>
    </row>
    <row r="29" spans="1:21">
      <c r="A29" s="15" t="s">
        <v>18</v>
      </c>
      <c r="B29" s="21">
        <v>23859</v>
      </c>
      <c r="C29" s="21">
        <v>26524</v>
      </c>
      <c r="D29" s="21">
        <v>26308</v>
      </c>
      <c r="E29" s="17">
        <v>23703</v>
      </c>
      <c r="F29" s="22">
        <v>21580</v>
      </c>
      <c r="G29" s="18">
        <v>14902</v>
      </c>
      <c r="H29" s="23">
        <v>14353</v>
      </c>
      <c r="I29" s="23">
        <v>14242</v>
      </c>
      <c r="J29" s="23">
        <v>10282</v>
      </c>
      <c r="K29" s="23">
        <v>6215</v>
      </c>
      <c r="L29" s="24">
        <v>10050</v>
      </c>
      <c r="M29" s="24">
        <v>18139</v>
      </c>
      <c r="N29" s="24">
        <v>19393</v>
      </c>
      <c r="O29" s="24">
        <v>19990</v>
      </c>
      <c r="P29" s="24">
        <v>22612</v>
      </c>
      <c r="Q29" s="24">
        <v>27925</v>
      </c>
      <c r="R29" s="24">
        <v>31214</v>
      </c>
      <c r="S29" s="24">
        <v>33638</v>
      </c>
      <c r="T29" s="24">
        <v>19588</v>
      </c>
      <c r="U29" s="24"/>
    </row>
    <row r="30" spans="1:21">
      <c r="A30" s="15"/>
      <c r="B30" s="21"/>
      <c r="C30" s="21"/>
      <c r="D30" s="21"/>
      <c r="E30" s="27"/>
      <c r="F30" s="22"/>
      <c r="G30" s="18"/>
      <c r="H30" s="23"/>
      <c r="I30" s="23"/>
      <c r="J30" s="15"/>
      <c r="K30" s="23"/>
      <c r="L30" s="24"/>
      <c r="M30" s="24"/>
      <c r="N30" s="24"/>
      <c r="O30" s="24"/>
      <c r="P30" s="24"/>
      <c r="Q30" s="24"/>
      <c r="R30" s="24"/>
      <c r="S30" s="24"/>
      <c r="T30" s="24"/>
      <c r="U30" s="24"/>
    </row>
    <row r="31" spans="1:21">
      <c r="A31" s="28" t="s">
        <v>19</v>
      </c>
      <c r="B31" s="29">
        <f t="shared" ref="B31:Q31" si="7">+B28+B25+B19+B15+B12+B8</f>
        <v>178509</v>
      </c>
      <c r="C31" s="29">
        <f t="shared" si="7"/>
        <v>177357</v>
      </c>
      <c r="D31" s="29">
        <f t="shared" si="7"/>
        <v>182573</v>
      </c>
      <c r="E31" s="30">
        <f t="shared" si="7"/>
        <v>165576</v>
      </c>
      <c r="F31" s="31">
        <f t="shared" si="7"/>
        <v>150781</v>
      </c>
      <c r="G31" s="31">
        <f t="shared" si="7"/>
        <v>137602</v>
      </c>
      <c r="H31" s="31">
        <f t="shared" si="7"/>
        <v>143478</v>
      </c>
      <c r="I31" s="31">
        <f t="shared" si="7"/>
        <v>134047</v>
      </c>
      <c r="J31" s="31">
        <f t="shared" si="7"/>
        <v>132242</v>
      </c>
      <c r="K31" s="31">
        <f t="shared" si="7"/>
        <v>101680</v>
      </c>
      <c r="L31" s="31">
        <f t="shared" si="7"/>
        <v>114563</v>
      </c>
      <c r="M31" s="31">
        <f t="shared" si="7"/>
        <v>141778</v>
      </c>
      <c r="N31" s="31">
        <f t="shared" si="7"/>
        <v>115735</v>
      </c>
      <c r="O31" s="31">
        <f t="shared" si="7"/>
        <v>109698</v>
      </c>
      <c r="P31" s="31">
        <f t="shared" si="7"/>
        <v>117744</v>
      </c>
      <c r="Q31" s="31">
        <f t="shared" si="7"/>
        <v>115468</v>
      </c>
      <c r="R31" s="31">
        <f>+R28+R25+R19+R15+R12+R8</f>
        <v>99200</v>
      </c>
      <c r="S31" s="31">
        <v>126426</v>
      </c>
      <c r="T31" s="31">
        <v>234151</v>
      </c>
      <c r="U31" s="31">
        <v>282142</v>
      </c>
    </row>
    <row r="32" spans="1:21" ht="15.75">
      <c r="A32" s="32" t="s">
        <v>20</v>
      </c>
      <c r="B32" s="15"/>
      <c r="C32" s="15"/>
      <c r="D32" s="15"/>
      <c r="E32" s="33"/>
      <c r="F32" s="15"/>
      <c r="G32" s="34"/>
      <c r="H32" s="23"/>
      <c r="I32" s="23"/>
      <c r="J32" s="15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</row>
    <row r="33" spans="1:21" ht="15.75">
      <c r="A33" s="71" t="s">
        <v>45</v>
      </c>
      <c r="B33" s="15"/>
      <c r="C33" s="15"/>
      <c r="D33" s="15"/>
      <c r="E33" s="33"/>
      <c r="F33" s="15"/>
      <c r="G33" s="34"/>
      <c r="H33" s="23"/>
      <c r="I33" s="17" t="s">
        <v>3</v>
      </c>
      <c r="J33" s="17" t="s">
        <v>3</v>
      </c>
      <c r="K33" s="17" t="s">
        <v>3</v>
      </c>
      <c r="L33" s="35" t="s">
        <v>3</v>
      </c>
      <c r="M33" s="35" t="s">
        <v>3</v>
      </c>
      <c r="N33" s="35" t="s">
        <v>3</v>
      </c>
      <c r="O33" s="35" t="s">
        <v>3</v>
      </c>
      <c r="P33" s="35" t="s">
        <v>3</v>
      </c>
      <c r="Q33" s="35" t="s">
        <v>3</v>
      </c>
      <c r="R33" s="35" t="s">
        <v>3</v>
      </c>
      <c r="S33" s="35" t="s">
        <v>3</v>
      </c>
      <c r="T33" s="35">
        <v>24</v>
      </c>
      <c r="U33" s="35"/>
    </row>
    <row r="34" spans="1:21">
      <c r="A34" s="15" t="s">
        <v>21</v>
      </c>
      <c r="B34" s="18">
        <f>7190+5213</f>
        <v>12403</v>
      </c>
      <c r="C34" s="18">
        <f>6824+8421</f>
        <v>15245</v>
      </c>
      <c r="D34" s="18">
        <v>17160</v>
      </c>
      <c r="E34" s="18">
        <f>9353+5842</f>
        <v>15195</v>
      </c>
      <c r="F34" s="22">
        <f>8789+9532</f>
        <v>18321</v>
      </c>
      <c r="G34" s="18">
        <f>9206+11938</f>
        <v>21144</v>
      </c>
      <c r="H34" s="23">
        <f>11712+11656</f>
        <v>23368</v>
      </c>
      <c r="I34" s="23">
        <f>11167+12459</f>
        <v>23626</v>
      </c>
      <c r="J34" s="23">
        <f>11201+12017</f>
        <v>23218</v>
      </c>
      <c r="K34" s="23">
        <v>18848</v>
      </c>
      <c r="L34" s="24">
        <v>34119</v>
      </c>
      <c r="M34" s="24">
        <v>41611</v>
      </c>
      <c r="N34" s="24">
        <v>40755</v>
      </c>
      <c r="O34" s="24">
        <v>38219</v>
      </c>
      <c r="P34" s="24">
        <v>38016</v>
      </c>
      <c r="Q34" s="24">
        <v>33292</v>
      </c>
      <c r="R34" s="24">
        <v>35391</v>
      </c>
      <c r="S34" s="24">
        <v>37475</v>
      </c>
      <c r="T34" s="35">
        <v>49844</v>
      </c>
      <c r="U34" s="35"/>
    </row>
    <row r="35" spans="1:21">
      <c r="A35" s="15" t="s">
        <v>15</v>
      </c>
      <c r="B35" s="22">
        <v>1938</v>
      </c>
      <c r="C35" s="18" t="s">
        <v>3</v>
      </c>
      <c r="D35" s="18" t="s">
        <v>3</v>
      </c>
      <c r="E35" s="18" t="s">
        <v>3</v>
      </c>
      <c r="F35" s="18" t="s">
        <v>3</v>
      </c>
      <c r="G35" s="18" t="s">
        <v>3</v>
      </c>
      <c r="H35" s="17" t="s">
        <v>3</v>
      </c>
      <c r="I35" s="17" t="s">
        <v>3</v>
      </c>
      <c r="J35" s="17" t="s">
        <v>3</v>
      </c>
      <c r="K35" s="17" t="s">
        <v>3</v>
      </c>
      <c r="L35" s="35" t="s">
        <v>3</v>
      </c>
      <c r="M35" s="35" t="s">
        <v>3</v>
      </c>
      <c r="N35" s="35" t="s">
        <v>3</v>
      </c>
      <c r="O35" s="35" t="s">
        <v>3</v>
      </c>
      <c r="P35" s="35" t="s">
        <v>3</v>
      </c>
      <c r="Q35" s="35" t="s">
        <v>3</v>
      </c>
      <c r="R35" s="35" t="s">
        <v>3</v>
      </c>
      <c r="S35" s="35" t="s">
        <v>3</v>
      </c>
      <c r="T35" s="35">
        <v>0</v>
      </c>
      <c r="U35" s="35"/>
    </row>
    <row r="36" spans="1:21">
      <c r="A36" s="15" t="s">
        <v>22</v>
      </c>
      <c r="B36" s="18">
        <f>525+84</f>
        <v>609</v>
      </c>
      <c r="C36" s="18">
        <f>317+64</f>
        <v>381</v>
      </c>
      <c r="D36" s="18">
        <v>557</v>
      </c>
      <c r="E36" s="18">
        <v>276</v>
      </c>
      <c r="F36" s="22">
        <v>10</v>
      </c>
      <c r="G36" s="18">
        <v>1925</v>
      </c>
      <c r="H36" s="23">
        <v>2214</v>
      </c>
      <c r="I36" s="23">
        <v>3168</v>
      </c>
      <c r="J36" s="23">
        <v>2862</v>
      </c>
      <c r="K36" s="23">
        <v>670</v>
      </c>
      <c r="L36" s="24">
        <v>1536</v>
      </c>
      <c r="M36" s="24">
        <v>1331</v>
      </c>
      <c r="N36" s="24">
        <v>1573</v>
      </c>
      <c r="O36" s="24">
        <v>1230</v>
      </c>
      <c r="P36" s="35" t="s">
        <v>3</v>
      </c>
      <c r="Q36" s="35" t="s">
        <v>3</v>
      </c>
      <c r="R36" s="35" t="s">
        <v>3</v>
      </c>
      <c r="S36" s="35" t="s">
        <v>3</v>
      </c>
      <c r="T36" s="35" t="s">
        <v>3</v>
      </c>
      <c r="U36" s="35"/>
    </row>
    <row r="37" spans="1:21">
      <c r="A37" s="15" t="s">
        <v>23</v>
      </c>
      <c r="B37" s="22">
        <f>7840+3874</f>
        <v>11714</v>
      </c>
      <c r="C37" s="22">
        <f>5707+2285</f>
        <v>7992</v>
      </c>
      <c r="D37" s="22">
        <f>5970+2720</f>
        <v>8690</v>
      </c>
      <c r="E37" s="18">
        <v>5904</v>
      </c>
      <c r="F37" s="18">
        <v>8215</v>
      </c>
      <c r="G37" s="18">
        <v>8556</v>
      </c>
      <c r="H37" s="23">
        <v>9267</v>
      </c>
      <c r="I37" s="23">
        <v>10478</v>
      </c>
      <c r="J37" s="23">
        <v>10886</v>
      </c>
      <c r="K37" s="23">
        <v>2850</v>
      </c>
      <c r="L37" s="24">
        <v>5958</v>
      </c>
      <c r="M37" s="24">
        <v>5498</v>
      </c>
      <c r="N37" s="24">
        <v>4117</v>
      </c>
      <c r="O37" s="24">
        <f>1369+2389</f>
        <v>3758</v>
      </c>
      <c r="P37" s="24">
        <f>2765+1320</f>
        <v>4085</v>
      </c>
      <c r="Q37" s="24">
        <v>6237</v>
      </c>
      <c r="R37" s="24">
        <v>6682</v>
      </c>
      <c r="S37" s="24">
        <v>9730</v>
      </c>
      <c r="T37" s="35">
        <v>8233</v>
      </c>
      <c r="U37" s="35"/>
    </row>
    <row r="38" spans="1:21">
      <c r="A38" s="15" t="s">
        <v>8</v>
      </c>
      <c r="B38" s="22">
        <v>37032</v>
      </c>
      <c r="C38" s="22">
        <v>34742</v>
      </c>
      <c r="D38" s="22">
        <v>38265</v>
      </c>
      <c r="E38" s="18">
        <v>50074</v>
      </c>
      <c r="F38" s="18">
        <v>46372</v>
      </c>
      <c r="G38" s="18">
        <v>47904</v>
      </c>
      <c r="H38" s="23">
        <v>45167</v>
      </c>
      <c r="I38" s="17" t="s">
        <v>3</v>
      </c>
      <c r="J38" s="17" t="s">
        <v>3</v>
      </c>
      <c r="K38" s="17" t="s">
        <v>3</v>
      </c>
      <c r="L38" s="35" t="s">
        <v>3</v>
      </c>
      <c r="M38" s="35" t="s">
        <v>3</v>
      </c>
      <c r="N38" s="35" t="s">
        <v>3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/>
    </row>
    <row r="39" spans="1:21">
      <c r="A39" s="15" t="s">
        <v>24</v>
      </c>
      <c r="B39" s="22">
        <f>3952+567</f>
        <v>4519</v>
      </c>
      <c r="C39" s="22">
        <f>3455+547</f>
        <v>4002</v>
      </c>
      <c r="D39" s="22">
        <v>3587</v>
      </c>
      <c r="E39" s="18">
        <v>2336</v>
      </c>
      <c r="F39" s="22">
        <v>3029</v>
      </c>
      <c r="G39" s="18">
        <v>3929</v>
      </c>
      <c r="H39" s="23">
        <v>3831</v>
      </c>
      <c r="I39" s="23">
        <v>4923</v>
      </c>
      <c r="J39" s="23">
        <v>5947</v>
      </c>
      <c r="K39" s="23">
        <v>1967</v>
      </c>
      <c r="L39" s="24">
        <v>2553</v>
      </c>
      <c r="M39" s="24">
        <v>2023</v>
      </c>
      <c r="N39" s="24">
        <v>1381</v>
      </c>
      <c r="O39" s="24">
        <f>81+1030</f>
        <v>1111</v>
      </c>
      <c r="P39" s="24">
        <f>132+1532</f>
        <v>1664</v>
      </c>
      <c r="Q39" s="24">
        <v>1629</v>
      </c>
      <c r="R39" s="24">
        <v>1823</v>
      </c>
      <c r="S39" s="24">
        <v>1913</v>
      </c>
      <c r="T39" s="35">
        <v>2114</v>
      </c>
      <c r="U39" s="35"/>
    </row>
    <row r="40" spans="1:21">
      <c r="A40" s="36" t="s">
        <v>19</v>
      </c>
      <c r="B40" s="37">
        <f t="shared" ref="B40:S40" si="8">SUM(B34:B39)</f>
        <v>68215</v>
      </c>
      <c r="C40" s="37">
        <f t="shared" si="8"/>
        <v>62362</v>
      </c>
      <c r="D40" s="37">
        <f t="shared" si="8"/>
        <v>68259</v>
      </c>
      <c r="E40" s="38">
        <f t="shared" si="8"/>
        <v>73785</v>
      </c>
      <c r="F40" s="38">
        <f t="shared" si="8"/>
        <v>75947</v>
      </c>
      <c r="G40" s="38">
        <f t="shared" si="8"/>
        <v>83458</v>
      </c>
      <c r="H40" s="39">
        <f t="shared" si="8"/>
        <v>83847</v>
      </c>
      <c r="I40" s="39">
        <f t="shared" si="8"/>
        <v>42195</v>
      </c>
      <c r="J40" s="39">
        <f t="shared" si="8"/>
        <v>42913</v>
      </c>
      <c r="K40" s="39">
        <f t="shared" si="8"/>
        <v>24335</v>
      </c>
      <c r="L40" s="39">
        <f t="shared" si="8"/>
        <v>44166</v>
      </c>
      <c r="M40" s="39">
        <f t="shared" si="8"/>
        <v>50463</v>
      </c>
      <c r="N40" s="39">
        <f t="shared" si="8"/>
        <v>47826</v>
      </c>
      <c r="O40" s="39">
        <f t="shared" si="8"/>
        <v>44318</v>
      </c>
      <c r="P40" s="39">
        <f t="shared" si="8"/>
        <v>43765</v>
      </c>
      <c r="Q40" s="39">
        <f t="shared" si="8"/>
        <v>41158</v>
      </c>
      <c r="R40" s="39">
        <f t="shared" si="8"/>
        <v>43896</v>
      </c>
      <c r="S40" s="39">
        <f t="shared" si="8"/>
        <v>49118</v>
      </c>
      <c r="T40" s="39">
        <f>SUM(T33:T39)</f>
        <v>60215</v>
      </c>
      <c r="U40" s="39">
        <v>63562</v>
      </c>
    </row>
    <row r="41" spans="1:21" ht="15.75">
      <c r="A41" s="32" t="s">
        <v>25</v>
      </c>
      <c r="B41" s="15"/>
      <c r="C41" s="15"/>
      <c r="D41" s="15"/>
      <c r="E41" s="15"/>
      <c r="F41" s="15"/>
      <c r="G41" s="34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</row>
    <row r="42" spans="1:21">
      <c r="A42" s="15" t="s">
        <v>21</v>
      </c>
      <c r="B42" s="22">
        <f t="shared" ref="B42:Q42" si="9">SUM(B34,B8,B12)</f>
        <v>49747</v>
      </c>
      <c r="C42" s="22">
        <f t="shared" si="9"/>
        <v>50133</v>
      </c>
      <c r="D42" s="22">
        <f t="shared" si="9"/>
        <v>50961</v>
      </c>
      <c r="E42" s="22">
        <f t="shared" si="9"/>
        <v>52600</v>
      </c>
      <c r="F42" s="22">
        <f t="shared" si="9"/>
        <v>53432</v>
      </c>
      <c r="G42" s="22">
        <f t="shared" si="9"/>
        <v>53426</v>
      </c>
      <c r="H42" s="22">
        <f t="shared" si="9"/>
        <v>57208</v>
      </c>
      <c r="I42" s="22">
        <f t="shared" si="9"/>
        <v>64064</v>
      </c>
      <c r="J42" s="22">
        <f t="shared" si="9"/>
        <v>61360</v>
      </c>
      <c r="K42" s="22">
        <f t="shared" si="9"/>
        <v>34520</v>
      </c>
      <c r="L42" s="40">
        <f t="shared" si="9"/>
        <v>47397</v>
      </c>
      <c r="M42" s="40">
        <f t="shared" si="9"/>
        <v>50290</v>
      </c>
      <c r="N42" s="40">
        <f t="shared" si="9"/>
        <v>43940</v>
      </c>
      <c r="O42" s="40">
        <f t="shared" si="9"/>
        <v>56717</v>
      </c>
      <c r="P42" s="40">
        <f t="shared" si="9"/>
        <v>53510</v>
      </c>
      <c r="Q42" s="40">
        <f t="shared" si="9"/>
        <v>46602</v>
      </c>
      <c r="R42" s="40">
        <f>SUM(R34,R8,R12)</f>
        <v>49465</v>
      </c>
      <c r="S42" s="40">
        <f>SUM(S34,S8,S12)</f>
        <v>53645</v>
      </c>
      <c r="T42" s="40">
        <f>SUM(T34,T8,T12)</f>
        <v>63073</v>
      </c>
      <c r="U42" s="40"/>
    </row>
    <row r="43" spans="1:21">
      <c r="A43" s="41" t="s">
        <v>15</v>
      </c>
      <c r="B43" s="22">
        <f t="shared" ref="B43:K43" si="10">SUM(B35,B25)</f>
        <v>52053</v>
      </c>
      <c r="C43" s="22">
        <f t="shared" si="10"/>
        <v>53897</v>
      </c>
      <c r="D43" s="22">
        <f t="shared" si="10"/>
        <v>45312</v>
      </c>
      <c r="E43" s="22">
        <f t="shared" si="10"/>
        <v>39918</v>
      </c>
      <c r="F43" s="22">
        <f t="shared" si="10"/>
        <v>35497</v>
      </c>
      <c r="G43" s="22">
        <f t="shared" si="10"/>
        <v>31972</v>
      </c>
      <c r="H43" s="22">
        <f t="shared" si="10"/>
        <v>1194</v>
      </c>
      <c r="I43" s="22">
        <f t="shared" si="10"/>
        <v>0</v>
      </c>
      <c r="J43" s="22">
        <f t="shared" si="10"/>
        <v>0</v>
      </c>
      <c r="K43" s="22">
        <f t="shared" si="10"/>
        <v>0</v>
      </c>
      <c r="L43" s="40">
        <f>SUM(L35,L25)</f>
        <v>0</v>
      </c>
      <c r="M43" s="40">
        <f>SUM(M35,M25)</f>
        <v>0</v>
      </c>
      <c r="N43" s="40">
        <f>SUM(N35,N25)</f>
        <v>0</v>
      </c>
      <c r="O43" s="40">
        <f>SUM(O35,O25)</f>
        <v>0</v>
      </c>
      <c r="P43" s="19" t="s">
        <v>3</v>
      </c>
      <c r="Q43" s="19" t="s">
        <v>3</v>
      </c>
      <c r="R43" s="19" t="s">
        <v>3</v>
      </c>
      <c r="S43" s="19" t="s">
        <v>3</v>
      </c>
      <c r="T43" s="19" t="s">
        <v>3</v>
      </c>
      <c r="U43" s="19"/>
    </row>
    <row r="44" spans="1:21">
      <c r="A44" s="41" t="s">
        <v>22</v>
      </c>
      <c r="B44" s="18">
        <f t="shared" ref="B44:M45" si="11">+B36</f>
        <v>609</v>
      </c>
      <c r="C44" s="18">
        <f t="shared" si="11"/>
        <v>381</v>
      </c>
      <c r="D44" s="18">
        <f t="shared" si="11"/>
        <v>557</v>
      </c>
      <c r="E44" s="22">
        <f t="shared" si="11"/>
        <v>276</v>
      </c>
      <c r="F44" s="22">
        <f t="shared" si="11"/>
        <v>10</v>
      </c>
      <c r="G44" s="18">
        <f t="shared" si="11"/>
        <v>1925</v>
      </c>
      <c r="H44" s="18">
        <f t="shared" si="11"/>
        <v>2214</v>
      </c>
      <c r="I44" s="18">
        <f t="shared" si="11"/>
        <v>3168</v>
      </c>
      <c r="J44" s="18">
        <f t="shared" si="11"/>
        <v>2862</v>
      </c>
      <c r="K44" s="18">
        <f t="shared" si="11"/>
        <v>670</v>
      </c>
      <c r="L44" s="19">
        <f t="shared" si="11"/>
        <v>1536</v>
      </c>
      <c r="M44" s="19">
        <f t="shared" si="11"/>
        <v>1331</v>
      </c>
      <c r="N44" s="19">
        <f t="shared" ref="N44:P45" si="12">+N36</f>
        <v>1573</v>
      </c>
      <c r="O44" s="19">
        <f t="shared" si="12"/>
        <v>1230</v>
      </c>
      <c r="P44" s="19" t="str">
        <f t="shared" si="12"/>
        <v>-</v>
      </c>
      <c r="Q44" s="19" t="str">
        <f t="shared" ref="Q44:S45" si="13">+Q36</f>
        <v>-</v>
      </c>
      <c r="R44" s="19" t="str">
        <f t="shared" si="13"/>
        <v>-</v>
      </c>
      <c r="S44" s="19" t="str">
        <f t="shared" si="13"/>
        <v>-</v>
      </c>
      <c r="T44" s="19" t="str">
        <f t="shared" ref="T44" si="14">+T36</f>
        <v>-</v>
      </c>
      <c r="U44" s="19"/>
    </row>
    <row r="45" spans="1:21">
      <c r="A45" s="41" t="s">
        <v>23</v>
      </c>
      <c r="B45" s="18">
        <f>+B37</f>
        <v>11714</v>
      </c>
      <c r="C45" s="18">
        <f>+C37</f>
        <v>7992</v>
      </c>
      <c r="D45" s="18">
        <f t="shared" si="11"/>
        <v>8690</v>
      </c>
      <c r="E45" s="22">
        <f t="shared" si="11"/>
        <v>5904</v>
      </c>
      <c r="F45" s="22">
        <f t="shared" si="11"/>
        <v>8215</v>
      </c>
      <c r="G45" s="18">
        <f t="shared" si="11"/>
        <v>8556</v>
      </c>
      <c r="H45" s="18">
        <f t="shared" si="11"/>
        <v>9267</v>
      </c>
      <c r="I45" s="18">
        <f t="shared" si="11"/>
        <v>10478</v>
      </c>
      <c r="J45" s="18">
        <f t="shared" si="11"/>
        <v>10886</v>
      </c>
      <c r="K45" s="18">
        <f t="shared" si="11"/>
        <v>2850</v>
      </c>
      <c r="L45" s="19">
        <f t="shared" si="11"/>
        <v>5958</v>
      </c>
      <c r="M45" s="19">
        <f t="shared" si="11"/>
        <v>5498</v>
      </c>
      <c r="N45" s="19">
        <f t="shared" si="12"/>
        <v>4117</v>
      </c>
      <c r="O45" s="19">
        <f t="shared" si="12"/>
        <v>3758</v>
      </c>
      <c r="P45" s="19">
        <f t="shared" si="12"/>
        <v>4085</v>
      </c>
      <c r="Q45" s="19">
        <f t="shared" si="13"/>
        <v>6237</v>
      </c>
      <c r="R45" s="19">
        <f t="shared" si="13"/>
        <v>6682</v>
      </c>
      <c r="S45" s="19">
        <f t="shared" si="13"/>
        <v>9730</v>
      </c>
      <c r="T45" s="19">
        <f t="shared" ref="T45" si="15">+T37</f>
        <v>8233</v>
      </c>
      <c r="U45" s="19"/>
    </row>
    <row r="46" spans="1:21">
      <c r="A46" s="41" t="s">
        <v>8</v>
      </c>
      <c r="B46" s="18">
        <f t="shared" ref="B46:K46" si="16">SUM(B38,B15)</f>
        <v>52457</v>
      </c>
      <c r="C46" s="18">
        <f t="shared" si="16"/>
        <v>40453</v>
      </c>
      <c r="D46" s="18">
        <f t="shared" si="16"/>
        <v>57032</v>
      </c>
      <c r="E46" s="18">
        <f t="shared" si="16"/>
        <v>68561</v>
      </c>
      <c r="F46" s="18">
        <f t="shared" si="16"/>
        <v>66382</v>
      </c>
      <c r="G46" s="18">
        <f t="shared" si="16"/>
        <v>73775</v>
      </c>
      <c r="H46" s="18">
        <f t="shared" si="16"/>
        <v>72973</v>
      </c>
      <c r="I46" s="18">
        <f t="shared" si="16"/>
        <v>0</v>
      </c>
      <c r="J46" s="18">
        <f t="shared" si="16"/>
        <v>0</v>
      </c>
      <c r="K46" s="18">
        <f t="shared" si="16"/>
        <v>0</v>
      </c>
      <c r="L46" s="19">
        <f>SUM(L38,L15)</f>
        <v>0</v>
      </c>
      <c r="M46" s="19">
        <f>SUM(M38,M15)</f>
        <v>0</v>
      </c>
      <c r="N46" s="19">
        <f>SUM(N38,N15)</f>
        <v>0</v>
      </c>
      <c r="O46" s="19">
        <f>SUM(O38,O15)</f>
        <v>0</v>
      </c>
      <c r="P46" s="19" t="s">
        <v>3</v>
      </c>
      <c r="Q46" s="19" t="s">
        <v>3</v>
      </c>
      <c r="R46" s="19" t="s">
        <v>3</v>
      </c>
      <c r="S46" s="19" t="s">
        <v>3</v>
      </c>
      <c r="T46" s="19" t="s">
        <v>3</v>
      </c>
      <c r="U46" s="19"/>
    </row>
    <row r="47" spans="1:21">
      <c r="A47" s="41" t="s">
        <v>17</v>
      </c>
      <c r="B47" s="18">
        <f>B28</f>
        <v>23859</v>
      </c>
      <c r="C47" s="18">
        <f t="shared" ref="C47:K47" si="17">C28</f>
        <v>26524</v>
      </c>
      <c r="D47" s="18">
        <f t="shared" si="17"/>
        <v>26308</v>
      </c>
      <c r="E47" s="18">
        <f t="shared" si="17"/>
        <v>23703</v>
      </c>
      <c r="F47" s="18">
        <f t="shared" si="17"/>
        <v>21580</v>
      </c>
      <c r="G47" s="18">
        <f t="shared" si="17"/>
        <v>14902</v>
      </c>
      <c r="H47" s="18">
        <f t="shared" si="17"/>
        <v>14353</v>
      </c>
      <c r="I47" s="18">
        <f t="shared" si="17"/>
        <v>14242</v>
      </c>
      <c r="J47" s="18">
        <f t="shared" si="17"/>
        <v>10282</v>
      </c>
      <c r="K47" s="18">
        <f t="shared" si="17"/>
        <v>6215</v>
      </c>
      <c r="L47" s="19">
        <f t="shared" ref="L47:Q47" si="18">L28</f>
        <v>10050</v>
      </c>
      <c r="M47" s="19">
        <f t="shared" si="18"/>
        <v>18139</v>
      </c>
      <c r="N47" s="19">
        <f t="shared" si="18"/>
        <v>19393</v>
      </c>
      <c r="O47" s="19">
        <f t="shared" si="18"/>
        <v>19990</v>
      </c>
      <c r="P47" s="19">
        <f t="shared" si="18"/>
        <v>22612</v>
      </c>
      <c r="Q47" s="19">
        <f t="shared" si="18"/>
        <v>27925</v>
      </c>
      <c r="R47" s="19">
        <f>R28</f>
        <v>31214</v>
      </c>
      <c r="S47" s="19">
        <f>S28</f>
        <v>33638</v>
      </c>
      <c r="T47" s="19">
        <f>T28</f>
        <v>19588</v>
      </c>
      <c r="U47" s="19"/>
    </row>
    <row r="48" spans="1:21">
      <c r="A48" s="15" t="s">
        <v>24</v>
      </c>
      <c r="B48" s="18">
        <f>+B39</f>
        <v>4519</v>
      </c>
      <c r="C48" s="18">
        <f>+C39</f>
        <v>4002</v>
      </c>
      <c r="D48" s="18">
        <f t="shared" ref="D48:J48" si="19">+D39</f>
        <v>3587</v>
      </c>
      <c r="E48" s="22">
        <f t="shared" si="19"/>
        <v>2336</v>
      </c>
      <c r="F48" s="22">
        <f t="shared" si="19"/>
        <v>3029</v>
      </c>
      <c r="G48" s="18">
        <f t="shared" si="19"/>
        <v>3929</v>
      </c>
      <c r="H48" s="18">
        <f t="shared" si="19"/>
        <v>3831</v>
      </c>
      <c r="I48" s="18">
        <f t="shared" si="19"/>
        <v>4923</v>
      </c>
      <c r="J48" s="18">
        <f t="shared" si="19"/>
        <v>5947</v>
      </c>
      <c r="K48" s="18">
        <f t="shared" ref="K48:P48" si="20">+K39</f>
        <v>1967</v>
      </c>
      <c r="L48" s="19">
        <f t="shared" si="20"/>
        <v>2553</v>
      </c>
      <c r="M48" s="19">
        <f t="shared" si="20"/>
        <v>2023</v>
      </c>
      <c r="N48" s="19">
        <f t="shared" si="20"/>
        <v>1381</v>
      </c>
      <c r="O48" s="19">
        <f t="shared" si="20"/>
        <v>1111</v>
      </c>
      <c r="P48" s="19">
        <f t="shared" si="20"/>
        <v>1664</v>
      </c>
      <c r="Q48" s="19">
        <f>+Q39</f>
        <v>1629</v>
      </c>
      <c r="R48" s="19">
        <f>+R39</f>
        <v>1823</v>
      </c>
      <c r="S48" s="19">
        <f>+S39</f>
        <v>1913</v>
      </c>
      <c r="T48" s="19">
        <f>+T39</f>
        <v>2114</v>
      </c>
      <c r="U48" s="19"/>
    </row>
    <row r="49" spans="1:21">
      <c r="A49" s="41" t="s">
        <v>11</v>
      </c>
      <c r="B49" s="22">
        <f>B19</f>
        <v>51766</v>
      </c>
      <c r="C49" s="22">
        <f t="shared" ref="C49:K49" si="21">C19</f>
        <v>56337</v>
      </c>
      <c r="D49" s="22">
        <f t="shared" si="21"/>
        <v>58385</v>
      </c>
      <c r="E49" s="22">
        <f t="shared" si="21"/>
        <v>46063</v>
      </c>
      <c r="F49" s="22">
        <f t="shared" si="21"/>
        <v>38583</v>
      </c>
      <c r="G49" s="22">
        <f t="shared" si="21"/>
        <v>32575</v>
      </c>
      <c r="H49" s="22">
        <f t="shared" si="21"/>
        <v>66285</v>
      </c>
      <c r="I49" s="22">
        <f t="shared" si="21"/>
        <v>79367</v>
      </c>
      <c r="J49" s="22">
        <f t="shared" si="21"/>
        <v>83818</v>
      </c>
      <c r="K49" s="22">
        <f t="shared" si="21"/>
        <v>79793</v>
      </c>
      <c r="L49" s="40">
        <f t="shared" ref="L49:Q49" si="22">L19</f>
        <v>91235</v>
      </c>
      <c r="M49" s="40">
        <f t="shared" si="22"/>
        <v>114960</v>
      </c>
      <c r="N49" s="40">
        <f t="shared" si="22"/>
        <v>93157</v>
      </c>
      <c r="O49" s="40">
        <f t="shared" si="22"/>
        <v>71210</v>
      </c>
      <c r="P49" s="40">
        <f t="shared" si="22"/>
        <v>79638</v>
      </c>
      <c r="Q49" s="40">
        <f t="shared" si="22"/>
        <v>74233</v>
      </c>
      <c r="R49" s="40">
        <f>R19</f>
        <v>53912</v>
      </c>
      <c r="S49" s="40">
        <f>S19</f>
        <v>76618</v>
      </c>
      <c r="T49" s="40">
        <f>T19</f>
        <v>201334</v>
      </c>
      <c r="U49" s="40"/>
    </row>
    <row r="50" spans="1:21">
      <c r="A50" s="36" t="s">
        <v>19</v>
      </c>
      <c r="B50" s="37">
        <f t="shared" ref="B50:L50" si="23">SUM(B42:B49)</f>
        <v>246724</v>
      </c>
      <c r="C50" s="37">
        <f t="shared" si="23"/>
        <v>239719</v>
      </c>
      <c r="D50" s="37">
        <f t="shared" si="23"/>
        <v>250832</v>
      </c>
      <c r="E50" s="37">
        <f t="shared" si="23"/>
        <v>239361</v>
      </c>
      <c r="F50" s="37">
        <f t="shared" si="23"/>
        <v>226728</v>
      </c>
      <c r="G50" s="37">
        <f t="shared" si="23"/>
        <v>221060</v>
      </c>
      <c r="H50" s="37">
        <f t="shared" si="23"/>
        <v>227325</v>
      </c>
      <c r="I50" s="37">
        <f t="shared" si="23"/>
        <v>176242</v>
      </c>
      <c r="J50" s="37">
        <f t="shared" si="23"/>
        <v>175155</v>
      </c>
      <c r="K50" s="37">
        <f t="shared" si="23"/>
        <v>126015</v>
      </c>
      <c r="L50" s="37">
        <f t="shared" si="23"/>
        <v>158729</v>
      </c>
      <c r="M50" s="37">
        <f t="shared" ref="M50:S50" si="24">SUM(M42:M49)</f>
        <v>192241</v>
      </c>
      <c r="N50" s="37">
        <f t="shared" si="24"/>
        <v>163561</v>
      </c>
      <c r="O50" s="37">
        <f t="shared" si="24"/>
        <v>154016</v>
      </c>
      <c r="P50" s="37">
        <f t="shared" si="24"/>
        <v>161509</v>
      </c>
      <c r="Q50" s="37">
        <f t="shared" si="24"/>
        <v>156626</v>
      </c>
      <c r="R50" s="37">
        <f t="shared" si="24"/>
        <v>143096</v>
      </c>
      <c r="S50" s="37">
        <f t="shared" si="24"/>
        <v>175544</v>
      </c>
      <c r="T50" s="37">
        <f>+T40+T31</f>
        <v>294366</v>
      </c>
      <c r="U50" s="37">
        <f>+U40+U31</f>
        <v>345704</v>
      </c>
    </row>
    <row r="51" spans="1:21">
      <c r="B51" s="42"/>
      <c r="C51" s="42"/>
      <c r="G51" s="42"/>
      <c r="H51" s="42"/>
      <c r="I51" s="42"/>
      <c r="K51" s="42"/>
      <c r="L51" s="42"/>
      <c r="M51" s="42"/>
      <c r="N51" s="42"/>
      <c r="P51" s="42"/>
      <c r="Q51" s="42"/>
      <c r="T51" s="42"/>
      <c r="U51" s="42" t="s">
        <v>36</v>
      </c>
    </row>
    <row r="52" spans="1:21">
      <c r="A52" s="14" t="s">
        <v>39</v>
      </c>
    </row>
    <row r="53" spans="1:21" s="60" customFormat="1">
      <c r="A53" s="58" t="s">
        <v>37</v>
      </c>
      <c r="B53" s="62">
        <v>63690</v>
      </c>
      <c r="C53" s="62">
        <v>59466</v>
      </c>
      <c r="D53" s="62">
        <v>65095</v>
      </c>
      <c r="E53" s="59">
        <v>71323</v>
      </c>
      <c r="F53" s="59">
        <v>73218</v>
      </c>
      <c r="G53" s="59">
        <v>79079</v>
      </c>
      <c r="H53" s="59">
        <v>78472</v>
      </c>
      <c r="I53" s="59">
        <v>36056</v>
      </c>
      <c r="J53" s="59">
        <v>36178</v>
      </c>
      <c r="K53" s="59">
        <v>22172</v>
      </c>
      <c r="L53" s="59">
        <v>39770</v>
      </c>
      <c r="M53" s="59">
        <v>46385</v>
      </c>
      <c r="N53" s="59">
        <v>43831</v>
      </c>
      <c r="O53" s="59">
        <v>40918</v>
      </c>
      <c r="P53" s="59">
        <v>40868</v>
      </c>
      <c r="Q53" s="59">
        <v>37134</v>
      </c>
      <c r="R53" s="59">
        <v>39712</v>
      </c>
      <c r="S53" s="59">
        <v>42816</v>
      </c>
      <c r="T53" s="59">
        <v>54881</v>
      </c>
      <c r="U53" s="59">
        <v>58141</v>
      </c>
    </row>
    <row r="54" spans="1:21" s="60" customFormat="1">
      <c r="A54" s="58" t="s">
        <v>38</v>
      </c>
      <c r="B54" s="62">
        <v>4347</v>
      </c>
      <c r="C54" s="62">
        <v>2669</v>
      </c>
      <c r="D54" s="62">
        <v>2995</v>
      </c>
      <c r="E54" s="59">
        <v>2323</v>
      </c>
      <c r="F54" s="59">
        <v>2603</v>
      </c>
      <c r="G54" s="59">
        <v>4239</v>
      </c>
      <c r="H54" s="59">
        <v>5248</v>
      </c>
      <c r="I54" s="59">
        <v>5981</v>
      </c>
      <c r="J54" s="59">
        <v>6609</v>
      </c>
      <c r="K54" s="59">
        <v>2079</v>
      </c>
      <c r="L54" s="59">
        <v>4326</v>
      </c>
      <c r="M54" s="59">
        <v>4073</v>
      </c>
      <c r="N54" s="59">
        <v>3990</v>
      </c>
      <c r="O54" s="59">
        <v>3385</v>
      </c>
      <c r="P54" s="59">
        <v>2897</v>
      </c>
      <c r="Q54" s="59">
        <v>4024</v>
      </c>
      <c r="R54" s="59">
        <v>4184</v>
      </c>
      <c r="S54" s="59">
        <v>6302</v>
      </c>
      <c r="T54" s="59">
        <v>5310</v>
      </c>
      <c r="U54" s="59">
        <v>5405</v>
      </c>
    </row>
    <row r="55" spans="1:21" s="60" customFormat="1">
      <c r="A55" s="58" t="s">
        <v>40</v>
      </c>
      <c r="B55" s="62">
        <v>178</v>
      </c>
      <c r="C55" s="62">
        <v>227</v>
      </c>
      <c r="D55" s="62">
        <v>169</v>
      </c>
      <c r="E55" s="59">
        <v>139</v>
      </c>
      <c r="F55" s="59">
        <v>126</v>
      </c>
      <c r="G55" s="59">
        <v>140</v>
      </c>
      <c r="H55" s="59">
        <v>127</v>
      </c>
      <c r="I55" s="59">
        <v>158</v>
      </c>
      <c r="J55" s="59">
        <v>126</v>
      </c>
      <c r="K55" s="59">
        <v>84</v>
      </c>
      <c r="L55" s="59">
        <v>70</v>
      </c>
      <c r="M55" s="59">
        <v>5</v>
      </c>
      <c r="N55" s="59">
        <v>5</v>
      </c>
      <c r="O55" s="59">
        <v>15</v>
      </c>
      <c r="P55" s="59">
        <v>0</v>
      </c>
      <c r="Q55" s="59">
        <v>0</v>
      </c>
      <c r="R55" s="59">
        <v>0</v>
      </c>
      <c r="S55" s="59">
        <v>0</v>
      </c>
      <c r="T55" s="59">
        <v>24</v>
      </c>
      <c r="U55" s="59">
        <v>16</v>
      </c>
    </row>
    <row r="56" spans="1:21" s="60" customFormat="1">
      <c r="A56" s="58" t="s">
        <v>43</v>
      </c>
      <c r="B56" s="63">
        <f>SUM(B53:B55)</f>
        <v>68215</v>
      </c>
      <c r="C56" s="63">
        <f t="shared" ref="C56:Q56" si="25">SUM(C53:C55)</f>
        <v>62362</v>
      </c>
      <c r="D56" s="63">
        <f t="shared" si="25"/>
        <v>68259</v>
      </c>
      <c r="E56" s="63">
        <f t="shared" si="25"/>
        <v>73785</v>
      </c>
      <c r="F56" s="63">
        <f t="shared" si="25"/>
        <v>75947</v>
      </c>
      <c r="G56" s="63">
        <f t="shared" si="25"/>
        <v>83458</v>
      </c>
      <c r="H56" s="63">
        <f t="shared" si="25"/>
        <v>83847</v>
      </c>
      <c r="I56" s="63">
        <f t="shared" si="25"/>
        <v>42195</v>
      </c>
      <c r="J56" s="63">
        <f t="shared" si="25"/>
        <v>42913</v>
      </c>
      <c r="K56" s="63">
        <f t="shared" si="25"/>
        <v>24335</v>
      </c>
      <c r="L56" s="63">
        <f t="shared" si="25"/>
        <v>44166</v>
      </c>
      <c r="M56" s="63">
        <f t="shared" si="25"/>
        <v>50463</v>
      </c>
      <c r="N56" s="63">
        <f t="shared" si="25"/>
        <v>47826</v>
      </c>
      <c r="O56" s="63">
        <f t="shared" si="25"/>
        <v>44318</v>
      </c>
      <c r="P56" s="63">
        <f t="shared" si="25"/>
        <v>43765</v>
      </c>
      <c r="Q56" s="63">
        <f t="shared" si="25"/>
        <v>41158</v>
      </c>
      <c r="R56" s="63">
        <f>SUM(R53:R55)</f>
        <v>43896</v>
      </c>
      <c r="S56" s="63">
        <f>SUM(S53:S55)</f>
        <v>49118</v>
      </c>
      <c r="T56" s="63">
        <f>SUM(T53:T55)</f>
        <v>60215</v>
      </c>
      <c r="U56" s="63">
        <f>SUM(U53:U55)</f>
        <v>63562</v>
      </c>
    </row>
    <row r="57" spans="1:21">
      <c r="Q57" s="42"/>
      <c r="T57" s="42"/>
      <c r="U57" s="42" t="s">
        <v>41</v>
      </c>
    </row>
  </sheetData>
  <phoneticPr fontId="16" type="noConversion"/>
  <pageMargins left="0.62992125984251968" right="0.31496062992125984" top="0.47244094488188981" bottom="0.6692913385826772" header="0.31496062992125984" footer="0.31496062992125984"/>
  <pageSetup paperSize="9" scale="85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31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6"/>
  <sheetViews>
    <sheetView showGridLines="0" zoomScaleNormal="100" workbookViewId="0">
      <pane ySplit="7" topLeftCell="A53" activePane="bottomLeft" state="frozen"/>
      <selection activeCell="K12" sqref="K12"/>
      <selection pane="bottomLeft" activeCell="A56" sqref="A56"/>
    </sheetView>
  </sheetViews>
  <sheetFormatPr defaultColWidth="9.140625" defaultRowHeight="15"/>
  <cols>
    <col min="1" max="1" width="14" style="73" customWidth="1"/>
    <col min="2" max="2" width="17.42578125" style="3" customWidth="1"/>
    <col min="3" max="3" width="19.42578125" style="3" bestFit="1" customWidth="1"/>
    <col min="4" max="4" width="17.42578125" style="3" customWidth="1"/>
    <col min="5" max="16384" width="9.140625" style="3"/>
  </cols>
  <sheetData>
    <row r="1" spans="1:4" s="2" customFormat="1" ht="17.100000000000001" customHeight="1">
      <c r="A1" s="72"/>
      <c r="B1" s="43" t="s">
        <v>35</v>
      </c>
    </row>
    <row r="2" spans="1:4" s="2" customFormat="1">
      <c r="A2" s="72"/>
      <c r="B2" s="44" t="s">
        <v>34</v>
      </c>
    </row>
    <row r="3" spans="1:4" s="2" customFormat="1">
      <c r="A3" s="72"/>
      <c r="B3" s="45"/>
      <c r="C3" s="1"/>
      <c r="D3" s="1"/>
    </row>
    <row r="4" spans="1:4" s="2" customFormat="1">
      <c r="A4" s="72"/>
      <c r="B4" s="43" t="s">
        <v>0</v>
      </c>
      <c r="C4" s="1"/>
      <c r="D4" s="1"/>
    </row>
    <row r="5" spans="1:4">
      <c r="B5" s="14"/>
      <c r="C5" s="14"/>
      <c r="D5" s="14"/>
    </row>
    <row r="6" spans="1:4">
      <c r="A6" s="74" t="s">
        <v>33</v>
      </c>
      <c r="B6" s="55" t="s">
        <v>32</v>
      </c>
      <c r="C6" s="55" t="s">
        <v>31</v>
      </c>
      <c r="D6" s="55" t="s">
        <v>30</v>
      </c>
    </row>
    <row r="7" spans="1:4">
      <c r="A7" s="75" t="s">
        <v>29</v>
      </c>
      <c r="B7" s="64" t="s">
        <v>28</v>
      </c>
      <c r="C7" s="64" t="s">
        <v>27</v>
      </c>
      <c r="D7" s="64" t="s">
        <v>26</v>
      </c>
    </row>
    <row r="8" spans="1:4" s="48" customFormat="1">
      <c r="A8" s="76">
        <v>1962</v>
      </c>
      <c r="B8" s="67" t="s">
        <v>3</v>
      </c>
      <c r="C8" s="67">
        <v>0.247</v>
      </c>
      <c r="D8" s="65">
        <f>+C8</f>
        <v>0.247</v>
      </c>
    </row>
    <row r="9" spans="1:4" s="48" customFormat="1">
      <c r="A9" s="77">
        <v>1963</v>
      </c>
      <c r="B9" s="46">
        <v>0.4</v>
      </c>
      <c r="C9" s="46">
        <f>0.118+0.574</f>
        <v>0.69199999999999995</v>
      </c>
      <c r="D9" s="50">
        <f t="shared" ref="D9:D19" si="0">+C9+B9</f>
        <v>1.0920000000000001</v>
      </c>
    </row>
    <row r="10" spans="1:4" s="48" customFormat="1">
      <c r="A10" s="77">
        <v>1964</v>
      </c>
      <c r="B10" s="46">
        <v>16.879000000000001</v>
      </c>
      <c r="C10" s="46">
        <f>2.666+2.383</f>
        <v>5.0489999999999995</v>
      </c>
      <c r="D10" s="50">
        <f t="shared" si="0"/>
        <v>21.928000000000001</v>
      </c>
    </row>
    <row r="11" spans="1:4" s="48" customFormat="1">
      <c r="A11" s="77">
        <v>1965</v>
      </c>
      <c r="B11" s="46">
        <v>31.588999999999999</v>
      </c>
      <c r="C11" s="46">
        <f>5.85+3.687</f>
        <v>9.536999999999999</v>
      </c>
      <c r="D11" s="50">
        <f t="shared" si="0"/>
        <v>41.125999999999998</v>
      </c>
    </row>
    <row r="12" spans="1:4" s="48" customFormat="1">
      <c r="A12" s="77">
        <v>1966</v>
      </c>
      <c r="B12" s="46">
        <v>33.338999999999999</v>
      </c>
      <c r="C12" s="46">
        <f>7.403+3.49</f>
        <v>10.893000000000001</v>
      </c>
      <c r="D12" s="50">
        <f t="shared" si="0"/>
        <v>44.231999999999999</v>
      </c>
    </row>
    <row r="13" spans="1:4" s="48" customFormat="1">
      <c r="A13" s="77">
        <v>1967</v>
      </c>
      <c r="B13" s="46">
        <v>34.076000000000001</v>
      </c>
      <c r="C13" s="46">
        <f>7.221+2.88</f>
        <v>10.100999999999999</v>
      </c>
      <c r="D13" s="50">
        <f t="shared" si="0"/>
        <v>44.177</v>
      </c>
    </row>
    <row r="14" spans="1:4" s="48" customFormat="1">
      <c r="A14" s="77">
        <v>1968</v>
      </c>
      <c r="B14" s="46">
        <v>38.683</v>
      </c>
      <c r="C14" s="46">
        <f>10.56+2.382</f>
        <v>12.942</v>
      </c>
      <c r="D14" s="50">
        <f t="shared" si="0"/>
        <v>51.625</v>
      </c>
    </row>
    <row r="15" spans="1:4" s="48" customFormat="1">
      <c r="A15" s="77">
        <v>1969</v>
      </c>
      <c r="B15" s="46">
        <v>56.232999999999997</v>
      </c>
      <c r="C15" s="46">
        <f>8.148+2.73</f>
        <v>10.878</v>
      </c>
      <c r="D15" s="50">
        <f t="shared" si="0"/>
        <v>67.11099999999999</v>
      </c>
    </row>
    <row r="16" spans="1:4">
      <c r="A16" s="78">
        <v>1970</v>
      </c>
      <c r="B16" s="47">
        <v>60.713000000000001</v>
      </c>
      <c r="C16" s="47">
        <f>9.308+3.159</f>
        <v>12.466999999999999</v>
      </c>
      <c r="D16" s="50">
        <f t="shared" si="0"/>
        <v>73.180000000000007</v>
      </c>
    </row>
    <row r="17" spans="1:9">
      <c r="A17" s="78">
        <v>1971</v>
      </c>
      <c r="B17" s="49">
        <v>74.096000000000004</v>
      </c>
      <c r="C17" s="49">
        <f>7.229+3.28</f>
        <v>10.509</v>
      </c>
      <c r="D17" s="50">
        <f t="shared" si="0"/>
        <v>84.605000000000004</v>
      </c>
    </row>
    <row r="18" spans="1:9">
      <c r="A18" s="78">
        <v>1972</v>
      </c>
      <c r="B18" s="47">
        <v>85.111000000000004</v>
      </c>
      <c r="C18" s="47">
        <f>9.275+3.557</f>
        <v>12.832000000000001</v>
      </c>
      <c r="D18" s="50">
        <f t="shared" si="0"/>
        <v>97.943000000000012</v>
      </c>
    </row>
    <row r="19" spans="1:9">
      <c r="A19" s="78">
        <v>1973</v>
      </c>
      <c r="B19" s="47">
        <v>84.216999999999999</v>
      </c>
      <c r="C19" s="47">
        <f>7.574+4.105</f>
        <v>11.679</v>
      </c>
      <c r="D19" s="50">
        <f t="shared" si="0"/>
        <v>95.896000000000001</v>
      </c>
    </row>
    <row r="20" spans="1:9">
      <c r="A20" s="78">
        <v>1974</v>
      </c>
      <c r="B20" s="47">
        <v>89.278999999999996</v>
      </c>
      <c r="C20" s="47">
        <f>8.144+3.983</f>
        <v>12.127000000000001</v>
      </c>
      <c r="D20" s="50">
        <f t="shared" ref="D20:D40" si="1">C20+B20</f>
        <v>101.40599999999999</v>
      </c>
    </row>
    <row r="21" spans="1:9">
      <c r="A21" s="78">
        <v>1975</v>
      </c>
      <c r="B21" s="47">
        <v>74.748000000000005</v>
      </c>
      <c r="C21" s="47">
        <f>8.051+3.113</f>
        <v>11.164</v>
      </c>
      <c r="D21" s="50">
        <f t="shared" si="1"/>
        <v>85.912000000000006</v>
      </c>
    </row>
    <row r="22" spans="1:9">
      <c r="A22" s="78">
        <v>1976</v>
      </c>
      <c r="B22" s="47">
        <v>73.301000000000002</v>
      </c>
      <c r="C22" s="47">
        <f>12.967+2.854</f>
        <v>15.821000000000002</v>
      </c>
      <c r="D22" s="50">
        <f t="shared" si="1"/>
        <v>89.122</v>
      </c>
    </row>
    <row r="23" spans="1:9">
      <c r="A23" s="78">
        <v>1977</v>
      </c>
      <c r="B23" s="47">
        <v>72.572000000000003</v>
      </c>
      <c r="C23" s="47">
        <f>27.76+5.744</f>
        <v>33.504000000000005</v>
      </c>
      <c r="D23" s="50">
        <f t="shared" si="1"/>
        <v>106.07600000000001</v>
      </c>
    </row>
    <row r="24" spans="1:9">
      <c r="A24" s="78">
        <v>1978</v>
      </c>
      <c r="B24" s="47">
        <v>40.570999999999998</v>
      </c>
      <c r="C24" s="47">
        <f>30.283+8.043</f>
        <v>38.326000000000001</v>
      </c>
      <c r="D24" s="50">
        <f t="shared" si="1"/>
        <v>78.896999999999991</v>
      </c>
    </row>
    <row r="25" spans="1:9">
      <c r="A25" s="78">
        <v>1979</v>
      </c>
      <c r="B25" s="49">
        <v>34.362000000000002</v>
      </c>
      <c r="C25" s="49">
        <f>35.196+6.117</f>
        <v>41.312999999999995</v>
      </c>
      <c r="D25" s="66">
        <f t="shared" si="1"/>
        <v>75.674999999999997</v>
      </c>
    </row>
    <row r="26" spans="1:9">
      <c r="A26" s="78">
        <v>1980</v>
      </c>
      <c r="B26" s="47">
        <v>45.457000000000001</v>
      </c>
      <c r="C26" s="47">
        <f>50.914+7.483</f>
        <v>58.396999999999998</v>
      </c>
      <c r="D26" s="50">
        <f t="shared" si="1"/>
        <v>103.854</v>
      </c>
    </row>
    <row r="27" spans="1:9">
      <c r="A27" s="78">
        <v>1981</v>
      </c>
      <c r="B27" s="47">
        <v>60.91</v>
      </c>
      <c r="C27" s="47">
        <f>48.61+9.295</f>
        <v>57.905000000000001</v>
      </c>
      <c r="D27" s="50">
        <f t="shared" si="1"/>
        <v>118.815</v>
      </c>
    </row>
    <row r="28" spans="1:9">
      <c r="A28" s="78">
        <v>1982</v>
      </c>
      <c r="B28" s="47">
        <v>64.840999999999994</v>
      </c>
      <c r="C28" s="47">
        <f>45.86+8.257</f>
        <v>54.116999999999997</v>
      </c>
      <c r="D28" s="50">
        <f t="shared" si="1"/>
        <v>118.958</v>
      </c>
    </row>
    <row r="29" spans="1:9">
      <c r="A29" s="78">
        <v>1983</v>
      </c>
      <c r="B29" s="47">
        <v>65.903000000000006</v>
      </c>
      <c r="C29" s="47">
        <f>25.068+4.06</f>
        <v>29.128</v>
      </c>
      <c r="D29" s="50">
        <f t="shared" si="1"/>
        <v>95.031000000000006</v>
      </c>
    </row>
    <row r="30" spans="1:9">
      <c r="A30" s="78">
        <v>1984</v>
      </c>
      <c r="B30" s="47">
        <v>61.152999999999999</v>
      </c>
      <c r="C30" s="47">
        <f>20.197+2.917</f>
        <v>23.113999999999997</v>
      </c>
      <c r="D30" s="50">
        <f t="shared" si="1"/>
        <v>84.266999999999996</v>
      </c>
      <c r="G30" s="56">
        <v>1970</v>
      </c>
      <c r="H30" s="56">
        <v>73.180000000000007</v>
      </c>
      <c r="I30" s="56"/>
    </row>
    <row r="31" spans="1:9">
      <c r="A31" s="78">
        <v>1985</v>
      </c>
      <c r="B31" s="47">
        <v>60.975000000000001</v>
      </c>
      <c r="C31" s="47">
        <f>24.505+2.043</f>
        <v>26.547999999999998</v>
      </c>
      <c r="D31" s="50">
        <f t="shared" si="1"/>
        <v>87.522999999999996</v>
      </c>
      <c r="G31" s="56">
        <v>1980</v>
      </c>
      <c r="H31" s="57">
        <f>D26</f>
        <v>103.854</v>
      </c>
      <c r="I31" s="56"/>
    </row>
    <row r="32" spans="1:9">
      <c r="A32" s="78">
        <v>1986</v>
      </c>
      <c r="B32" s="47">
        <v>62.113</v>
      </c>
      <c r="C32" s="47">
        <f>30.703+3.19</f>
        <v>33.893000000000001</v>
      </c>
      <c r="D32" s="50">
        <f t="shared" si="1"/>
        <v>96.006</v>
      </c>
      <c r="G32" s="56">
        <v>1990</v>
      </c>
      <c r="H32" s="57">
        <f>D36</f>
        <v>137.68699999999998</v>
      </c>
      <c r="I32" s="56"/>
    </row>
    <row r="33" spans="1:9">
      <c r="A33" s="78">
        <v>1987</v>
      </c>
      <c r="B33" s="47">
        <v>70.83</v>
      </c>
      <c r="C33" s="47">
        <f>48.529+4.538</f>
        <v>53.067000000000007</v>
      </c>
      <c r="D33" s="50">
        <f t="shared" si="1"/>
        <v>123.89700000000001</v>
      </c>
      <c r="G33" s="56">
        <v>2000</v>
      </c>
      <c r="H33" s="57">
        <f>D46</f>
        <v>246.72399999999999</v>
      </c>
      <c r="I33" s="56"/>
    </row>
    <row r="34" spans="1:9">
      <c r="A34" s="78">
        <v>1988</v>
      </c>
      <c r="B34" s="47">
        <v>71.087999999999994</v>
      </c>
      <c r="C34" s="47">
        <f>60.533+4.903</f>
        <v>65.436000000000007</v>
      </c>
      <c r="D34" s="50">
        <f t="shared" si="1"/>
        <v>136.524</v>
      </c>
      <c r="G34" s="56">
        <v>2005</v>
      </c>
      <c r="H34" s="57">
        <f>D51</f>
        <v>221.06</v>
      </c>
      <c r="I34" s="56"/>
    </row>
    <row r="35" spans="1:9">
      <c r="A35" s="78">
        <v>1989</v>
      </c>
      <c r="B35" s="47">
        <v>73.180999999999997</v>
      </c>
      <c r="C35" s="47">
        <f>68.283+4.623</f>
        <v>72.906000000000006</v>
      </c>
      <c r="D35" s="50">
        <f t="shared" si="1"/>
        <v>146.08699999999999</v>
      </c>
      <c r="G35" s="56">
        <v>2007</v>
      </c>
      <c r="H35" s="57">
        <f t="shared" ref="H35:H42" si="2">D53</f>
        <v>176.24199999999999</v>
      </c>
      <c r="I35" s="56"/>
    </row>
    <row r="36" spans="1:9">
      <c r="A36" s="78">
        <v>1990</v>
      </c>
      <c r="B36" s="47">
        <v>60.220999999999997</v>
      </c>
      <c r="C36" s="47">
        <f>74.187+3.279</f>
        <v>77.465999999999994</v>
      </c>
      <c r="D36" s="50">
        <f t="shared" si="1"/>
        <v>137.68699999999998</v>
      </c>
      <c r="G36" s="56">
        <v>2008</v>
      </c>
      <c r="H36" s="57">
        <f t="shared" si="2"/>
        <v>175.15499999999997</v>
      </c>
      <c r="I36" s="56"/>
    </row>
    <row r="37" spans="1:9">
      <c r="A37" s="78">
        <v>1991</v>
      </c>
      <c r="B37" s="47">
        <v>71.972999999999999</v>
      </c>
      <c r="C37" s="47">
        <f>66.176+3.228</f>
        <v>69.403999999999996</v>
      </c>
      <c r="D37" s="50">
        <f t="shared" si="1"/>
        <v>141.37700000000001</v>
      </c>
      <c r="G37" s="56">
        <v>2009</v>
      </c>
      <c r="H37" s="57">
        <f t="shared" si="2"/>
        <v>126.01500000000001</v>
      </c>
      <c r="I37" s="56"/>
    </row>
    <row r="38" spans="1:9">
      <c r="A38" s="78">
        <v>1992</v>
      </c>
      <c r="B38" s="47">
        <v>96.179000000000002</v>
      </c>
      <c r="C38" s="47">
        <f>63.266+3.781</f>
        <v>67.046999999999997</v>
      </c>
      <c r="D38" s="50">
        <f t="shared" si="1"/>
        <v>163.226</v>
      </c>
      <c r="G38" s="56">
        <v>2010</v>
      </c>
      <c r="H38" s="57">
        <f t="shared" si="2"/>
        <v>158.72899999999998</v>
      </c>
      <c r="I38" s="56"/>
    </row>
    <row r="39" spans="1:9">
      <c r="A39" s="78">
        <v>1993</v>
      </c>
      <c r="B39" s="47">
        <v>60.075000000000003</v>
      </c>
      <c r="C39" s="47">
        <f>60.015+2.117</f>
        <v>62.131999999999998</v>
      </c>
      <c r="D39" s="50">
        <f t="shared" si="1"/>
        <v>122.20699999999999</v>
      </c>
      <c r="G39" s="56">
        <v>2011</v>
      </c>
      <c r="H39" s="57">
        <f t="shared" si="2"/>
        <v>192.24199999999999</v>
      </c>
      <c r="I39" s="56"/>
    </row>
    <row r="40" spans="1:9">
      <c r="A40" s="78">
        <v>1994</v>
      </c>
      <c r="B40" s="47">
        <v>37.753999999999998</v>
      </c>
      <c r="C40" s="47">
        <f>85.841+1.614</f>
        <v>87.454999999999998</v>
      </c>
      <c r="D40" s="50">
        <f t="shared" si="1"/>
        <v>125.209</v>
      </c>
      <c r="G40" s="56">
        <v>2012</v>
      </c>
      <c r="H40" s="57">
        <f t="shared" si="2"/>
        <v>163.56100000000001</v>
      </c>
      <c r="I40" s="56"/>
    </row>
    <row r="41" spans="1:9">
      <c r="A41" s="78">
        <v>1995</v>
      </c>
      <c r="B41" s="47">
        <v>73.185000000000002</v>
      </c>
      <c r="C41" s="47">
        <f>83.859+1.851</f>
        <v>85.71</v>
      </c>
      <c r="D41" s="50">
        <f t="shared" ref="D41:D54" si="3">+C41+B41</f>
        <v>158.89499999999998</v>
      </c>
      <c r="G41" s="56">
        <v>2013</v>
      </c>
      <c r="H41" s="57">
        <f t="shared" si="2"/>
        <v>154.01599999999999</v>
      </c>
      <c r="I41" s="56"/>
    </row>
    <row r="42" spans="1:9">
      <c r="A42" s="78">
        <v>1996</v>
      </c>
      <c r="B42" s="47">
        <v>152.64599999999999</v>
      </c>
      <c r="C42" s="47">
        <f>78.417+2.069</f>
        <v>80.486000000000004</v>
      </c>
      <c r="D42" s="50">
        <f t="shared" si="3"/>
        <v>233.13200000000001</v>
      </c>
      <c r="G42" s="56">
        <v>2014</v>
      </c>
      <c r="H42" s="57">
        <f t="shared" si="2"/>
        <v>161.50900000000001</v>
      </c>
      <c r="I42" s="56"/>
    </row>
    <row r="43" spans="1:9">
      <c r="A43" s="78">
        <v>1997</v>
      </c>
      <c r="B43" s="47">
        <v>186.01</v>
      </c>
      <c r="C43" s="47">
        <f>77.362+3.791</f>
        <v>81.152999999999992</v>
      </c>
      <c r="D43" s="50">
        <f t="shared" si="3"/>
        <v>267.16300000000001</v>
      </c>
      <c r="G43" s="56"/>
      <c r="H43" s="56"/>
      <c r="I43" s="56"/>
    </row>
    <row r="44" spans="1:9">
      <c r="A44" s="78">
        <v>1998</v>
      </c>
      <c r="B44" s="47">
        <v>181.38800000000001</v>
      </c>
      <c r="C44" s="47">
        <f>85.243+4.399</f>
        <v>89.641999999999996</v>
      </c>
      <c r="D44" s="50">
        <f t="shared" si="3"/>
        <v>271.02999999999997</v>
      </c>
    </row>
    <row r="45" spans="1:9">
      <c r="A45" s="78">
        <v>1999</v>
      </c>
      <c r="B45" s="47">
        <v>186.99600000000001</v>
      </c>
      <c r="C45" s="47">
        <v>65.293999999999997</v>
      </c>
      <c r="D45" s="50">
        <f t="shared" si="3"/>
        <v>252.29000000000002</v>
      </c>
    </row>
    <row r="46" spans="1:9">
      <c r="A46" s="78">
        <v>2000</v>
      </c>
      <c r="B46" s="47">
        <v>178.50899999999999</v>
      </c>
      <c r="C46" s="47">
        <v>68.215000000000003</v>
      </c>
      <c r="D46" s="50">
        <f t="shared" si="3"/>
        <v>246.72399999999999</v>
      </c>
    </row>
    <row r="47" spans="1:9">
      <c r="A47" s="78">
        <v>2001</v>
      </c>
      <c r="B47" s="47">
        <v>177.357</v>
      </c>
      <c r="C47" s="47">
        <v>62.362000000000002</v>
      </c>
      <c r="D47" s="50">
        <f t="shared" si="3"/>
        <v>239.71899999999999</v>
      </c>
    </row>
    <row r="48" spans="1:9">
      <c r="A48" s="78">
        <v>2002</v>
      </c>
      <c r="B48" s="47">
        <v>182.57300000000001</v>
      </c>
      <c r="C48" s="47">
        <v>68.259</v>
      </c>
      <c r="D48" s="50">
        <f t="shared" si="3"/>
        <v>250.83199999999999</v>
      </c>
    </row>
    <row r="49" spans="1:5">
      <c r="A49" s="78">
        <v>2003</v>
      </c>
      <c r="B49" s="47">
        <v>165.57599999999999</v>
      </c>
      <c r="C49" s="47">
        <v>73.784999999999997</v>
      </c>
      <c r="D49" s="50">
        <f t="shared" si="3"/>
        <v>239.36099999999999</v>
      </c>
    </row>
    <row r="50" spans="1:5">
      <c r="A50" s="78">
        <v>2004</v>
      </c>
      <c r="B50" s="47">
        <v>150.78100000000001</v>
      </c>
      <c r="C50" s="47">
        <v>75.947000000000003</v>
      </c>
      <c r="D50" s="50">
        <f t="shared" si="3"/>
        <v>226.72800000000001</v>
      </c>
    </row>
    <row r="51" spans="1:5">
      <c r="A51" s="78">
        <v>2005</v>
      </c>
      <c r="B51" s="47">
        <v>137.602</v>
      </c>
      <c r="C51" s="47">
        <v>83.457999999999998</v>
      </c>
      <c r="D51" s="50">
        <f t="shared" si="3"/>
        <v>221.06</v>
      </c>
    </row>
    <row r="52" spans="1:5">
      <c r="A52" s="78">
        <v>2006</v>
      </c>
      <c r="B52" s="47">
        <v>143.47800000000001</v>
      </c>
      <c r="C52" s="47">
        <v>83.846999999999994</v>
      </c>
      <c r="D52" s="50">
        <f t="shared" si="3"/>
        <v>227.32499999999999</v>
      </c>
    </row>
    <row r="53" spans="1:5">
      <c r="A53" s="78">
        <v>2007</v>
      </c>
      <c r="B53" s="47">
        <v>134.047</v>
      </c>
      <c r="C53" s="47">
        <v>42.195</v>
      </c>
      <c r="D53" s="50">
        <f t="shared" si="3"/>
        <v>176.24199999999999</v>
      </c>
    </row>
    <row r="54" spans="1:5">
      <c r="A54" s="78">
        <v>2008</v>
      </c>
      <c r="B54" s="47">
        <v>132.24199999999999</v>
      </c>
      <c r="C54" s="47">
        <v>42.912999999999997</v>
      </c>
      <c r="D54" s="50">
        <f t="shared" si="3"/>
        <v>175.15499999999997</v>
      </c>
    </row>
    <row r="55" spans="1:5">
      <c r="A55" s="78">
        <v>2009</v>
      </c>
      <c r="B55" s="47">
        <v>101.68</v>
      </c>
      <c r="C55" s="47">
        <v>24.335000000000001</v>
      </c>
      <c r="D55" s="50">
        <f t="shared" ref="D55:D60" si="4">+C55+B55</f>
        <v>126.01500000000001</v>
      </c>
    </row>
    <row r="56" spans="1:5">
      <c r="A56" s="78">
        <v>2010</v>
      </c>
      <c r="B56" s="47">
        <v>114.563</v>
      </c>
      <c r="C56" s="47">
        <v>44.165999999999997</v>
      </c>
      <c r="D56" s="50">
        <f t="shared" si="4"/>
        <v>158.72899999999998</v>
      </c>
    </row>
    <row r="57" spans="1:5">
      <c r="A57" s="78">
        <v>2011</v>
      </c>
      <c r="B57" s="47">
        <v>141.779</v>
      </c>
      <c r="C57" s="47">
        <v>50.463000000000001</v>
      </c>
      <c r="D57" s="50">
        <f t="shared" si="4"/>
        <v>192.24199999999999</v>
      </c>
    </row>
    <row r="58" spans="1:5">
      <c r="A58" s="78">
        <v>2012</v>
      </c>
      <c r="B58" s="47">
        <v>115.735</v>
      </c>
      <c r="C58" s="47">
        <v>47.826000000000001</v>
      </c>
      <c r="D58" s="50">
        <f t="shared" si="4"/>
        <v>163.56100000000001</v>
      </c>
    </row>
    <row r="59" spans="1:5">
      <c r="A59" s="78">
        <v>2013</v>
      </c>
      <c r="B59" s="47">
        <v>109.69799999999999</v>
      </c>
      <c r="C59" s="47">
        <v>44.317999999999998</v>
      </c>
      <c r="D59" s="50">
        <f t="shared" si="4"/>
        <v>154.01599999999999</v>
      </c>
    </row>
    <row r="60" spans="1:5">
      <c r="A60" s="78">
        <v>2014</v>
      </c>
      <c r="B60" s="47">
        <v>117.744</v>
      </c>
      <c r="C60" s="47">
        <v>43.765000000000001</v>
      </c>
      <c r="D60" s="50">
        <f t="shared" si="4"/>
        <v>161.50900000000001</v>
      </c>
    </row>
    <row r="61" spans="1:5">
      <c r="A61" s="78">
        <v>2015</v>
      </c>
      <c r="B61" s="47">
        <v>115.468</v>
      </c>
      <c r="C61" s="47">
        <v>41.158000000000001</v>
      </c>
      <c r="D61" s="50">
        <f>+C61+B61</f>
        <v>156.626</v>
      </c>
    </row>
    <row r="62" spans="1:5">
      <c r="A62" s="78">
        <v>2016</v>
      </c>
      <c r="B62" s="47">
        <v>99.2</v>
      </c>
      <c r="C62" s="47">
        <v>43.896000000000001</v>
      </c>
      <c r="D62" s="50">
        <f>+C62+B62</f>
        <v>143.096</v>
      </c>
    </row>
    <row r="63" spans="1:5">
      <c r="A63" s="78">
        <v>2017</v>
      </c>
      <c r="B63" s="47">
        <v>126.426</v>
      </c>
      <c r="C63" s="47">
        <v>49.118000000000002</v>
      </c>
      <c r="D63" s="50">
        <f>+C63+B63</f>
        <v>175.54400000000001</v>
      </c>
    </row>
    <row r="64" spans="1:5">
      <c r="A64" s="78">
        <v>2018</v>
      </c>
      <c r="B64" s="47">
        <v>234.15100000000001</v>
      </c>
      <c r="C64" s="47">
        <v>60.2</v>
      </c>
      <c r="D64" s="50">
        <f>+C64+B64</f>
        <v>294.351</v>
      </c>
      <c r="E64" s="80"/>
    </row>
    <row r="65" spans="1:4">
      <c r="A65" s="79">
        <v>2019</v>
      </c>
      <c r="B65" s="51">
        <v>282.142</v>
      </c>
      <c r="C65" s="81">
        <v>63.562000000000012</v>
      </c>
      <c r="D65" s="51">
        <f>+C65+B65</f>
        <v>345.70400000000001</v>
      </c>
    </row>
    <row r="66" spans="1:4">
      <c r="D66" s="42" t="s">
        <v>36</v>
      </c>
    </row>
  </sheetData>
  <phoneticPr fontId="16" type="noConversion"/>
  <pageMargins left="0.62992125984251968" right="0.31496062992125984" top="0.47244094488188981" bottom="0.6692913385826772" header="0.31496062992125984" footer="0.31496062992125984"/>
  <pageSetup paperSize="9" scale="93" orientation="portrait" verticalDpi="300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15.Portogallo</vt:lpstr>
      <vt:lpstr>Trend anni</vt:lpstr>
      <vt:lpstr>Grafico1</vt:lpstr>
      <vt:lpstr>'15.Portogallo'!Area_stampa</vt:lpstr>
      <vt:lpstr>'Trend anni'!Area_stampa</vt:lpstr>
      <vt:lpstr>'15.Portogallo'!Titoli_stampa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2020-08-26T07:43:11Z</cp:lastPrinted>
  <dcterms:created xsi:type="dcterms:W3CDTF">2012-11-26T15:10:59Z</dcterms:created>
  <dcterms:modified xsi:type="dcterms:W3CDTF">2020-09-17T14:14:56Z</dcterms:modified>
</cp:coreProperties>
</file>