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 estere\ImmatMondo\aggiornati\"/>
    </mc:Choice>
  </mc:AlternateContent>
  <xr:revisionPtr revIDLastSave="0" documentId="13_ncr:1_{3D2EAED3-DE3F-422C-9244-B99791BF9F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9.UE14+EFTA+UK_pc marche 2021" sheetId="10" r:id="rId1"/>
    <sheet name="9.UE14+EFTA+UK_pc marche 2020" sheetId="9" r:id="rId2"/>
    <sheet name="9.UE15+EFTA_pc marche 2019" sheetId="8" r:id="rId3"/>
    <sheet name="9.UE15+EFTA_pc marche 2018" sheetId="7" r:id="rId4"/>
    <sheet name="9.UE15+EFTA_pc marche 2017" sheetId="6" r:id="rId5"/>
    <sheet name="9.UE15+EFTA_pc marche 2016 " sheetId="5" r:id="rId6"/>
    <sheet name="9.UE15+EFTA_pc marche 2015" sheetId="3" r:id="rId7"/>
    <sheet name="9.UE15+EFTA_pc marche 2014" sheetId="2" r:id="rId8"/>
  </sheets>
  <externalReferences>
    <externalReference r:id="rId9"/>
  </externalReferences>
  <definedNames>
    <definedName name="_xlnm.Print_Area" localSheetId="7">'9.UE15+EFTA_pc marche 2014'!$A$1:$T$67</definedName>
    <definedName name="_xlnm.Print_Area" localSheetId="6">'9.UE15+EFTA_pc marche 2015'!$A$1:$T$68</definedName>
    <definedName name="_xlnm.Print_Area" localSheetId="5">'9.UE15+EFTA_pc marche 2016 '!$A$1:$T$67</definedName>
    <definedName name="_xlnm.Print_Area" localSheetId="4">'9.UE15+EFTA_pc marche 2017'!$A$1:$T$69</definedName>
    <definedName name="_xlnm.Print_Area" localSheetId="3">'9.UE15+EFTA_pc marche 2018'!$A$1:$T$69</definedName>
    <definedName name="_xlnm.Print_Area" localSheetId="2">'9.UE15+EFTA_pc marche 2019'!$A$1:$T$67</definedName>
    <definedName name="Excel_BuiltIn_Print_Titles_12" localSheetId="6">'[1]12.autocaravan'!#REF!</definedName>
    <definedName name="Excel_BuiltIn_Print_Titles_12" localSheetId="5">'[1]12.autocaravan'!#REF!</definedName>
    <definedName name="Excel_BuiltIn_Print_Titles_12" localSheetId="4">'[1]12.autocaravan'!#REF!</definedName>
    <definedName name="Excel_BuiltIn_Print_Titles_12" localSheetId="3">'[1]12.autocaravan'!#REF!</definedName>
    <definedName name="Excel_BuiltIn_Print_Titles_12" localSheetId="2">'[1]12.autocaravan'!#REF!</definedName>
    <definedName name="Excel_BuiltIn_Print_Titles_12">'[1]12.autocaravan'!#REF!</definedName>
    <definedName name="Excel_BuiltIn_Print_Titles_13">#REF!</definedName>
    <definedName name="Excel_BuiltIn_Print_Titles_9" localSheetId="6">'[1]9.autovetture usate'!#REF!</definedName>
    <definedName name="Excel_BuiltIn_Print_Titles_9" localSheetId="5">'[1]9.autovetture usate'!#REF!</definedName>
    <definedName name="Excel_BuiltIn_Print_Titles_9" localSheetId="4">'[1]9.autovetture usate'!#REF!</definedName>
    <definedName name="Excel_BuiltIn_Print_Titles_9" localSheetId="3">'[1]9.autovetture usate'!#REF!</definedName>
    <definedName name="Excel_BuiltIn_Print_Titles_9" localSheetId="2">'[1]9.autovetture usate'!#REF!</definedName>
    <definedName name="Excel_BuiltIn_Print_Titles_9">'[1]9.autovetture usate'!#REF!</definedName>
    <definedName name="_xlnm.Print_Titles" localSheetId="7">'9.UE15+EFTA_pc marche 2014'!$1:$4</definedName>
    <definedName name="_xlnm.Print_Titles" localSheetId="6">'9.UE15+EFTA_pc marche 2015'!$1:$4</definedName>
    <definedName name="_xlnm.Print_Titles" localSheetId="5">'9.UE15+EFTA_pc marche 2016 '!$1:$4</definedName>
    <definedName name="_xlnm.Print_Titles" localSheetId="4">'9.UE15+EFTA_pc marche 2017'!$1:$4</definedName>
    <definedName name="_xlnm.Print_Titles" localSheetId="3">'9.UE15+EFTA_pc marche 2018'!$1:$4</definedName>
    <definedName name="_xlnm.Print_Titles" localSheetId="2">'9.UE15+EFTA_pc marche 2019'!$1:$4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64" i="9" l="1"/>
  <c r="O64" i="10"/>
  <c r="Q65" i="10" l="1"/>
  <c r="Q68" i="10" s="1"/>
  <c r="Q43" i="10"/>
  <c r="P64" i="9" l="1"/>
  <c r="P56" i="10" l="1"/>
  <c r="P64" i="10"/>
  <c r="H64" i="10" l="1"/>
  <c r="H36" i="10"/>
  <c r="L64" i="10"/>
  <c r="G28" i="10"/>
  <c r="G26" i="10"/>
  <c r="G14" i="10"/>
  <c r="G12" i="10"/>
  <c r="G5" i="10"/>
  <c r="K64" i="10"/>
  <c r="K14" i="10"/>
  <c r="D64" i="10"/>
  <c r="C64" i="10"/>
  <c r="C13" i="10"/>
  <c r="C65" i="10"/>
  <c r="B44" i="10" l="1"/>
  <c r="B46" i="10" s="1"/>
  <c r="B31" i="10"/>
  <c r="S31" i="10" s="1"/>
  <c r="B64" i="10"/>
  <c r="B63" i="10"/>
  <c r="B52" i="10"/>
  <c r="B51" i="10"/>
  <c r="B40" i="10"/>
  <c r="B37" i="10"/>
  <c r="B30" i="10"/>
  <c r="S30" i="10" s="1"/>
  <c r="B28" i="10"/>
  <c r="B27" i="10"/>
  <c r="S27" i="10" s="1"/>
  <c r="B26" i="10"/>
  <c r="B23" i="10"/>
  <c r="B15" i="10"/>
  <c r="B14" i="10"/>
  <c r="B5" i="10"/>
  <c r="S5" i="10" s="1"/>
  <c r="F64" i="9"/>
  <c r="N36" i="9"/>
  <c r="N64" i="9"/>
  <c r="N64" i="10"/>
  <c r="S7" i="9"/>
  <c r="S7" i="10"/>
  <c r="N36" i="10"/>
  <c r="B43" i="9"/>
  <c r="B43" i="10"/>
  <c r="S40" i="9"/>
  <c r="S41" i="9"/>
  <c r="S35" i="9"/>
  <c r="S34" i="9"/>
  <c r="S63" i="10"/>
  <c r="S62" i="10"/>
  <c r="S61" i="10"/>
  <c r="S60" i="10"/>
  <c r="S59" i="10"/>
  <c r="S58" i="10"/>
  <c r="R57" i="10"/>
  <c r="Q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B57" i="10"/>
  <c r="P57" i="10"/>
  <c r="S55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B54" i="10"/>
  <c r="S53" i="10"/>
  <c r="S52" i="10"/>
  <c r="S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B50" i="10"/>
  <c r="S49" i="10"/>
  <c r="S48" i="10"/>
  <c r="R50" i="10"/>
  <c r="R46" i="10"/>
  <c r="Q46" i="10"/>
  <c r="P46" i="10"/>
  <c r="O46" i="10"/>
  <c r="N46" i="10"/>
  <c r="M46" i="10"/>
  <c r="L46" i="10"/>
  <c r="J46" i="10"/>
  <c r="I46" i="10"/>
  <c r="H46" i="10"/>
  <c r="G46" i="10"/>
  <c r="F46" i="10"/>
  <c r="E46" i="10"/>
  <c r="D46" i="10"/>
  <c r="C46" i="10"/>
  <c r="S45" i="10"/>
  <c r="R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S42" i="10"/>
  <c r="S39" i="10"/>
  <c r="S38" i="10"/>
  <c r="S37" i="10"/>
  <c r="S36" i="10"/>
  <c r="S33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S29" i="10"/>
  <c r="S28" i="10"/>
  <c r="S26" i="10"/>
  <c r="S25" i="10"/>
  <c r="S24" i="10"/>
  <c r="S23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B22" i="10"/>
  <c r="S21" i="10"/>
  <c r="S20" i="10"/>
  <c r="S19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S17" i="10"/>
  <c r="S16" i="10"/>
  <c r="S15" i="10"/>
  <c r="S40" i="10"/>
  <c r="S41" i="10"/>
  <c r="S35" i="10"/>
  <c r="S34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S12" i="10"/>
  <c r="S11" i="10"/>
  <c r="S10" i="10"/>
  <c r="S9" i="10"/>
  <c r="S8" i="10"/>
  <c r="S6" i="10"/>
  <c r="C57" i="9"/>
  <c r="S44" i="10" l="1"/>
  <c r="B32" i="10"/>
  <c r="B65" i="10" s="1"/>
  <c r="S14" i="10"/>
  <c r="B13" i="10"/>
  <c r="S13" i="10" s="1"/>
  <c r="I65" i="10"/>
  <c r="P65" i="10"/>
  <c r="P67" i="10" s="1"/>
  <c r="R65" i="10"/>
  <c r="G65" i="10"/>
  <c r="H65" i="10"/>
  <c r="M65" i="10"/>
  <c r="O65" i="10"/>
  <c r="J65" i="10"/>
  <c r="F65" i="10"/>
  <c r="D65" i="10"/>
  <c r="E65" i="10"/>
  <c r="L65" i="10"/>
  <c r="L68" i="10" s="1"/>
  <c r="N65" i="10"/>
  <c r="S64" i="10"/>
  <c r="S54" i="10"/>
  <c r="S22" i="10"/>
  <c r="S47" i="10"/>
  <c r="S50" i="10"/>
  <c r="K46" i="10"/>
  <c r="S46" i="10" s="1"/>
  <c r="S18" i="10"/>
  <c r="S57" i="10"/>
  <c r="S56" i="10"/>
  <c r="S43" i="10"/>
  <c r="S32" i="10" l="1"/>
  <c r="K65" i="10"/>
  <c r="S65" i="10" s="1"/>
  <c r="Q64" i="9"/>
  <c r="R47" i="9"/>
  <c r="T21" i="10" l="1"/>
  <c r="T7" i="10"/>
  <c r="T26" i="10"/>
  <c r="T9" i="10"/>
  <c r="T41" i="10"/>
  <c r="T65" i="10"/>
  <c r="T64" i="10"/>
  <c r="T36" i="10"/>
  <c r="T15" i="10"/>
  <c r="T48" i="10"/>
  <c r="T33" i="10"/>
  <c r="T58" i="10"/>
  <c r="T29" i="10"/>
  <c r="T57" i="10"/>
  <c r="T55" i="10"/>
  <c r="T61" i="10"/>
  <c r="T17" i="10"/>
  <c r="T18" i="10"/>
  <c r="T62" i="10"/>
  <c r="T51" i="10"/>
  <c r="T8" i="10"/>
  <c r="T31" i="10"/>
  <c r="T27" i="10"/>
  <c r="T45" i="10"/>
  <c r="T14" i="10"/>
  <c r="T13" i="10"/>
  <c r="T59" i="10"/>
  <c r="T56" i="10"/>
  <c r="T43" i="10"/>
  <c r="T54" i="10"/>
  <c r="T24" i="10"/>
  <c r="T28" i="10"/>
  <c r="T49" i="10"/>
  <c r="T20" i="10"/>
  <c r="T35" i="10"/>
  <c r="T50" i="10"/>
  <c r="T22" i="10"/>
  <c r="T39" i="10"/>
  <c r="T23" i="10"/>
  <c r="T53" i="10"/>
  <c r="T10" i="10"/>
  <c r="T11" i="10"/>
  <c r="T16" i="10"/>
  <c r="T44" i="10"/>
  <c r="T46" i="10"/>
  <c r="T12" i="10"/>
  <c r="T6" i="10"/>
  <c r="T42" i="10"/>
  <c r="T30" i="10"/>
  <c r="T25" i="10"/>
  <c r="T52" i="10"/>
  <c r="T37" i="10"/>
  <c r="T63" i="10"/>
  <c r="T38" i="10"/>
  <c r="T32" i="10"/>
  <c r="T19" i="10"/>
  <c r="T60" i="10"/>
  <c r="T34" i="10"/>
  <c r="T5" i="10"/>
  <c r="T40" i="10"/>
  <c r="T47" i="10"/>
  <c r="P56" i="9"/>
  <c r="P57" i="9" s="1"/>
  <c r="P54" i="9"/>
  <c r="P50" i="9"/>
  <c r="P46" i="9"/>
  <c r="P43" i="9"/>
  <c r="P32" i="9"/>
  <c r="P22" i="9"/>
  <c r="P18" i="9"/>
  <c r="P13" i="9"/>
  <c r="P65" i="9" l="1"/>
  <c r="K64" i="9"/>
  <c r="K14" i="9"/>
  <c r="K44" i="9"/>
  <c r="G64" i="9" l="1"/>
  <c r="D13" i="9"/>
  <c r="B13" i="9"/>
  <c r="S63" i="9"/>
  <c r="S62" i="9"/>
  <c r="S61" i="9"/>
  <c r="S60" i="9"/>
  <c r="S59" i="9"/>
  <c r="S58" i="9"/>
  <c r="R57" i="9"/>
  <c r="Q57" i="9"/>
  <c r="O57" i="9"/>
  <c r="N57" i="9"/>
  <c r="M57" i="9"/>
  <c r="L57" i="9"/>
  <c r="K57" i="9"/>
  <c r="J57" i="9"/>
  <c r="I57" i="9"/>
  <c r="H57" i="9"/>
  <c r="G57" i="9"/>
  <c r="F57" i="9"/>
  <c r="E57" i="9"/>
  <c r="D57" i="9"/>
  <c r="B57" i="9"/>
  <c r="S56" i="9"/>
  <c r="S55" i="9"/>
  <c r="R54" i="9"/>
  <c r="Q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S53" i="9"/>
  <c r="S52" i="9"/>
  <c r="S51" i="9"/>
  <c r="R50" i="9"/>
  <c r="Q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S49" i="9"/>
  <c r="S48" i="9"/>
  <c r="S47" i="9"/>
  <c r="R46" i="9"/>
  <c r="Q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S45" i="9"/>
  <c r="S44" i="9"/>
  <c r="R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S42" i="9"/>
  <c r="S39" i="9"/>
  <c r="S38" i="9"/>
  <c r="S37" i="9"/>
  <c r="S36" i="9"/>
  <c r="S33" i="9"/>
  <c r="R32" i="9"/>
  <c r="Q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S31" i="9"/>
  <c r="S30" i="9"/>
  <c r="S29" i="9"/>
  <c r="S28" i="9"/>
  <c r="S27" i="9"/>
  <c r="S26" i="9"/>
  <c r="S25" i="9"/>
  <c r="S24" i="9"/>
  <c r="S23" i="9"/>
  <c r="R22" i="9"/>
  <c r="Q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S21" i="9"/>
  <c r="S20" i="9"/>
  <c r="S19" i="9"/>
  <c r="R18" i="9"/>
  <c r="Q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S17" i="9"/>
  <c r="S16" i="9"/>
  <c r="S15" i="9"/>
  <c r="S14" i="9"/>
  <c r="R13" i="9"/>
  <c r="Q13" i="9"/>
  <c r="O13" i="9"/>
  <c r="N13" i="9"/>
  <c r="M13" i="9"/>
  <c r="L13" i="9"/>
  <c r="K13" i="9"/>
  <c r="J13" i="9"/>
  <c r="I13" i="9"/>
  <c r="H13" i="9"/>
  <c r="G13" i="9"/>
  <c r="F13" i="9"/>
  <c r="E13" i="9"/>
  <c r="C13" i="9"/>
  <c r="S12" i="9"/>
  <c r="S11" i="9"/>
  <c r="S10" i="9"/>
  <c r="S9" i="9"/>
  <c r="S8" i="9"/>
  <c r="S6" i="9"/>
  <c r="S5" i="9"/>
  <c r="B43" i="8"/>
  <c r="F66" i="7"/>
  <c r="F25" i="7"/>
  <c r="F64" i="8"/>
  <c r="E65" i="9" l="1"/>
  <c r="F65" i="9"/>
  <c r="H65" i="9"/>
  <c r="I65" i="9"/>
  <c r="J65" i="9"/>
  <c r="L65" i="9"/>
  <c r="M65" i="9"/>
  <c r="N65" i="9"/>
  <c r="Q65" i="9"/>
  <c r="C65" i="9"/>
  <c r="K65" i="9"/>
  <c r="O65" i="9"/>
  <c r="R65" i="9"/>
  <c r="B65" i="9"/>
  <c r="D65" i="9"/>
  <c r="G65" i="9"/>
  <c r="S64" i="9"/>
  <c r="S50" i="9"/>
  <c r="S18" i="9"/>
  <c r="S54" i="9"/>
  <c r="S57" i="9"/>
  <c r="S32" i="9"/>
  <c r="S43" i="9"/>
  <c r="S46" i="9"/>
  <c r="S22" i="9"/>
  <c r="S13" i="9"/>
  <c r="I22" i="8"/>
  <c r="L66" i="7"/>
  <c r="C64" i="8"/>
  <c r="K16" i="7"/>
  <c r="K26" i="7"/>
  <c r="K36" i="7"/>
  <c r="K44" i="7"/>
  <c r="K51" i="7"/>
  <c r="K55" i="7"/>
  <c r="K57" i="7"/>
  <c r="K58" i="7"/>
  <c r="S65" i="9" l="1"/>
  <c r="T7" i="9" s="1"/>
  <c r="E45" i="7"/>
  <c r="E18" i="7"/>
  <c r="T31" i="9" l="1"/>
  <c r="T41" i="9"/>
  <c r="T35" i="9"/>
  <c r="T34" i="9"/>
  <c r="T40" i="9"/>
  <c r="T64" i="9"/>
  <c r="T21" i="9"/>
  <c r="T5" i="9"/>
  <c r="T12" i="9"/>
  <c r="T53" i="9"/>
  <c r="T17" i="9"/>
  <c r="T27" i="9"/>
  <c r="T46" i="9"/>
  <c r="T33" i="9"/>
  <c r="T60" i="9"/>
  <c r="T38" i="9"/>
  <c r="T47" i="9"/>
  <c r="T61" i="9"/>
  <c r="T49" i="9"/>
  <c r="T45" i="9"/>
  <c r="T39" i="9"/>
  <c r="T44" i="9"/>
  <c r="T57" i="9"/>
  <c r="T32" i="9"/>
  <c r="T50" i="9"/>
  <c r="T63" i="9"/>
  <c r="T20" i="9"/>
  <c r="T51" i="9"/>
  <c r="T43" i="9"/>
  <c r="T26" i="9"/>
  <c r="T11" i="9"/>
  <c r="T37" i="9"/>
  <c r="T52" i="9"/>
  <c r="T15" i="9"/>
  <c r="T28" i="9"/>
  <c r="T58" i="9"/>
  <c r="T19" i="9"/>
  <c r="T18" i="9"/>
  <c r="T30" i="9"/>
  <c r="T22" i="9"/>
  <c r="T29" i="9"/>
  <c r="T36" i="9"/>
  <c r="T9" i="9"/>
  <c r="T13" i="9"/>
  <c r="T62" i="9"/>
  <c r="T56" i="9"/>
  <c r="T25" i="9"/>
  <c r="T42" i="9"/>
  <c r="T10" i="9"/>
  <c r="T6" i="9"/>
  <c r="T23" i="9"/>
  <c r="T24" i="9"/>
  <c r="T59" i="9"/>
  <c r="T55" i="9"/>
  <c r="T8" i="9"/>
  <c r="T65" i="9"/>
  <c r="T14" i="9"/>
  <c r="T16" i="9"/>
  <c r="T48" i="9"/>
  <c r="T54" i="9"/>
  <c r="Q57" i="8"/>
  <c r="B26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 l="1"/>
  <c r="S24" i="8"/>
  <c r="S64" i="8" l="1"/>
  <c r="S63" i="8"/>
  <c r="S62" i="8"/>
  <c r="S60" i="8"/>
  <c r="S59" i="8"/>
  <c r="S58" i="8"/>
  <c r="R57" i="8"/>
  <c r="P57" i="8"/>
  <c r="O57" i="8"/>
  <c r="N57" i="8"/>
  <c r="M57" i="8"/>
  <c r="L57" i="8"/>
  <c r="J57" i="8"/>
  <c r="I57" i="8"/>
  <c r="H57" i="8"/>
  <c r="G57" i="8"/>
  <c r="F57" i="8"/>
  <c r="E57" i="8"/>
  <c r="D57" i="8"/>
  <c r="C57" i="8"/>
  <c r="B57" i="8"/>
  <c r="K57" i="8"/>
  <c r="S55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S53" i="8"/>
  <c r="S52" i="8"/>
  <c r="S51" i="8"/>
  <c r="Q50" i="8"/>
  <c r="P50" i="8"/>
  <c r="O50" i="8"/>
  <c r="N50" i="8"/>
  <c r="M50" i="8"/>
  <c r="L50" i="8"/>
  <c r="K50" i="8"/>
  <c r="J50" i="8"/>
  <c r="I50" i="8"/>
  <c r="H50" i="8"/>
  <c r="G50" i="8"/>
  <c r="F50" i="8"/>
  <c r="D50" i="8"/>
  <c r="C50" i="8"/>
  <c r="B50" i="8"/>
  <c r="S49" i="8"/>
  <c r="S48" i="8"/>
  <c r="R50" i="8"/>
  <c r="E50" i="8"/>
  <c r="R46" i="8"/>
  <c r="Q46" i="8"/>
  <c r="P46" i="8"/>
  <c r="O46" i="8"/>
  <c r="N46" i="8"/>
  <c r="M46" i="8"/>
  <c r="L46" i="8"/>
  <c r="J46" i="8"/>
  <c r="I46" i="8"/>
  <c r="H46" i="8"/>
  <c r="G46" i="8"/>
  <c r="F46" i="8"/>
  <c r="D46" i="8"/>
  <c r="C46" i="8"/>
  <c r="S45" i="8"/>
  <c r="K46" i="8"/>
  <c r="E46" i="8"/>
  <c r="B46" i="8"/>
  <c r="R43" i="8"/>
  <c r="P43" i="8"/>
  <c r="O43" i="8"/>
  <c r="N43" i="8"/>
  <c r="M43" i="8"/>
  <c r="L43" i="8"/>
  <c r="K43" i="8"/>
  <c r="J43" i="8"/>
  <c r="I43" i="8"/>
  <c r="H43" i="8"/>
  <c r="G43" i="8"/>
  <c r="F43" i="8"/>
  <c r="E43" i="8"/>
  <c r="C43" i="8"/>
  <c r="D43" i="8"/>
  <c r="S41" i="8"/>
  <c r="S40" i="8"/>
  <c r="S39" i="8"/>
  <c r="S38" i="8"/>
  <c r="S61" i="8"/>
  <c r="S37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S35" i="8"/>
  <c r="S34" i="8"/>
  <c r="S33" i="8"/>
  <c r="S32" i="8"/>
  <c r="S31" i="8"/>
  <c r="S30" i="8"/>
  <c r="S29" i="8"/>
  <c r="S27" i="8"/>
  <c r="S25" i="8"/>
  <c r="S23" i="8"/>
  <c r="R22" i="8"/>
  <c r="Q22" i="8"/>
  <c r="P22" i="8"/>
  <c r="O22" i="8"/>
  <c r="N22" i="8"/>
  <c r="M22" i="8"/>
  <c r="L22" i="8"/>
  <c r="K22" i="8"/>
  <c r="J22" i="8"/>
  <c r="H22" i="8"/>
  <c r="G22" i="8"/>
  <c r="F22" i="8"/>
  <c r="E22" i="8"/>
  <c r="D22" i="8"/>
  <c r="C22" i="8"/>
  <c r="B22" i="8"/>
  <c r="S21" i="8"/>
  <c r="S20" i="8"/>
  <c r="S19" i="8"/>
  <c r="R17" i="8"/>
  <c r="Q17" i="8"/>
  <c r="P17" i="8"/>
  <c r="O17" i="8"/>
  <c r="N17" i="8"/>
  <c r="M17" i="8"/>
  <c r="L17" i="8"/>
  <c r="J17" i="8"/>
  <c r="I17" i="8"/>
  <c r="H17" i="8"/>
  <c r="G17" i="8"/>
  <c r="F17" i="8"/>
  <c r="E17" i="8"/>
  <c r="D17" i="8"/>
  <c r="C17" i="8"/>
  <c r="K17" i="8"/>
  <c r="B17" i="8"/>
  <c r="S15" i="8"/>
  <c r="S14" i="8"/>
  <c r="S13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S11" i="8"/>
  <c r="S10" i="8"/>
  <c r="S9" i="8"/>
  <c r="S8" i="8"/>
  <c r="S7" i="8"/>
  <c r="S6" i="8"/>
  <c r="C65" i="8" l="1"/>
  <c r="G65" i="8"/>
  <c r="K65" i="8"/>
  <c r="O65" i="8"/>
  <c r="H65" i="8"/>
  <c r="P65" i="8"/>
  <c r="E65" i="8"/>
  <c r="I65" i="8"/>
  <c r="M65" i="8"/>
  <c r="Q65" i="8"/>
  <c r="D65" i="8"/>
  <c r="L65" i="8"/>
  <c r="F65" i="8"/>
  <c r="J65" i="8"/>
  <c r="N65" i="8"/>
  <c r="N70" i="8" s="1"/>
  <c r="R65" i="8"/>
  <c r="C69" i="8"/>
  <c r="B12" i="8"/>
  <c r="S16" i="8"/>
  <c r="S18" i="8"/>
  <c r="S56" i="8"/>
  <c r="S46" i="8"/>
  <c r="S26" i="8"/>
  <c r="B36" i="8"/>
  <c r="S44" i="8"/>
  <c r="S5" i="8"/>
  <c r="K69" i="8"/>
  <c r="B54" i="8"/>
  <c r="S54" i="8" s="1"/>
  <c r="S22" i="8"/>
  <c r="S17" i="8"/>
  <c r="S43" i="8"/>
  <c r="S50" i="8"/>
  <c r="S57" i="8"/>
  <c r="S28" i="8"/>
  <c r="S42" i="8"/>
  <c r="S47" i="8"/>
  <c r="S38" i="7"/>
  <c r="S41" i="7"/>
  <c r="S42" i="7"/>
  <c r="S33" i="7"/>
  <c r="S65" i="7"/>
  <c r="S64" i="7"/>
  <c r="S63" i="7"/>
  <c r="S62" i="7"/>
  <c r="S60" i="7"/>
  <c r="S59" i="7"/>
  <c r="S56" i="7"/>
  <c r="S54" i="7"/>
  <c r="S50" i="7"/>
  <c r="S49" i="7"/>
  <c r="S46" i="7"/>
  <c r="S37" i="7"/>
  <c r="S25" i="7"/>
  <c r="S24" i="7"/>
  <c r="S22" i="7"/>
  <c r="S21" i="7"/>
  <c r="S20" i="7"/>
  <c r="S15" i="7"/>
  <c r="S14" i="7"/>
  <c r="S13" i="7"/>
  <c r="S10" i="7"/>
  <c r="S9" i="7"/>
  <c r="S8" i="7"/>
  <c r="S7" i="7"/>
  <c r="S6" i="7"/>
  <c r="B65" i="8" l="1"/>
  <c r="S65" i="8" s="1"/>
  <c r="S12" i="8"/>
  <c r="S36" i="8"/>
  <c r="Q51" i="7"/>
  <c r="T57" i="8" l="1"/>
  <c r="T24" i="8"/>
  <c r="T43" i="8"/>
  <c r="T50" i="8"/>
  <c r="T28" i="8"/>
  <c r="T12" i="8"/>
  <c r="T59" i="8"/>
  <c r="T52" i="8"/>
  <c r="T45" i="8"/>
  <c r="T41" i="8"/>
  <c r="T37" i="8"/>
  <c r="T23" i="8"/>
  <c r="T14" i="8"/>
  <c r="T9" i="8"/>
  <c r="T7" i="8"/>
  <c r="T5" i="8"/>
  <c r="T30" i="8"/>
  <c r="T55" i="8"/>
  <c r="T51" i="8"/>
  <c r="T38" i="8"/>
  <c r="T33" i="8"/>
  <c r="T19" i="8"/>
  <c r="T11" i="8"/>
  <c r="T65" i="8"/>
  <c r="T62" i="8"/>
  <c r="T48" i="8"/>
  <c r="T21" i="8"/>
  <c r="T10" i="8"/>
  <c r="T20" i="8"/>
  <c r="T56" i="8"/>
  <c r="T16" i="8"/>
  <c r="T8" i="8"/>
  <c r="T25" i="8"/>
  <c r="T54" i="8"/>
  <c r="T39" i="8"/>
  <c r="T15" i="8"/>
  <c r="T40" i="8"/>
  <c r="T29" i="8"/>
  <c r="T36" i="8"/>
  <c r="T58" i="8"/>
  <c r="T32" i="8"/>
  <c r="T22" i="8"/>
  <c r="T31" i="8"/>
  <c r="T53" i="8"/>
  <c r="T61" i="8"/>
  <c r="T13" i="8"/>
  <c r="T35" i="8"/>
  <c r="T63" i="8"/>
  <c r="T64" i="8"/>
  <c r="T44" i="8"/>
  <c r="T60" i="8"/>
  <c r="T26" i="8"/>
  <c r="T46" i="8"/>
  <c r="T34" i="8"/>
  <c r="T27" i="8"/>
  <c r="T17" i="8"/>
  <c r="T6" i="8"/>
  <c r="T18" i="8"/>
  <c r="T49" i="8"/>
  <c r="T42" i="8"/>
  <c r="T47" i="8"/>
  <c r="S65" i="6"/>
  <c r="S64" i="6"/>
  <c r="S63" i="6"/>
  <c r="S62" i="6"/>
  <c r="S60" i="6"/>
  <c r="S59" i="6"/>
  <c r="S57" i="6"/>
  <c r="S56" i="6"/>
  <c r="S54" i="6"/>
  <c r="S50" i="6"/>
  <c r="S49" i="6"/>
  <c r="S46" i="6"/>
  <c r="S43" i="6"/>
  <c r="S42" i="6"/>
  <c r="S41" i="6"/>
  <c r="S38" i="6"/>
  <c r="S37" i="6"/>
  <c r="S33" i="6"/>
  <c r="S29" i="6"/>
  <c r="S28" i="6"/>
  <c r="S25" i="6"/>
  <c r="S24" i="6"/>
  <c r="S22" i="6"/>
  <c r="S21" i="6"/>
  <c r="S20" i="6"/>
  <c r="S15" i="6"/>
  <c r="S14" i="6"/>
  <c r="S13" i="6"/>
  <c r="S10" i="6"/>
  <c r="S9" i="6"/>
  <c r="S8" i="6"/>
  <c r="S7" i="6"/>
  <c r="S6" i="6"/>
  <c r="S5" i="6"/>
  <c r="R48" i="7"/>
  <c r="S66" i="7"/>
  <c r="S71" i="7"/>
  <c r="K18" i="7"/>
  <c r="K45" i="7"/>
  <c r="K47" i="7" s="1"/>
  <c r="S57" i="7"/>
  <c r="B58" i="6"/>
  <c r="B51" i="6"/>
  <c r="B26" i="6"/>
  <c r="J17" i="6"/>
  <c r="R44" i="7"/>
  <c r="P44" i="7"/>
  <c r="O44" i="7"/>
  <c r="N44" i="7"/>
  <c r="M44" i="7"/>
  <c r="L44" i="7"/>
  <c r="J44" i="7"/>
  <c r="I44" i="7"/>
  <c r="H44" i="7"/>
  <c r="G44" i="7"/>
  <c r="C44" i="7"/>
  <c r="E48" i="6"/>
  <c r="S48" i="6" s="1"/>
  <c r="E45" i="6"/>
  <c r="E47" i="6" s="1"/>
  <c r="R44" i="6"/>
  <c r="P44" i="6"/>
  <c r="O44" i="6"/>
  <c r="N44" i="6"/>
  <c r="M44" i="6"/>
  <c r="L44" i="6"/>
  <c r="K44" i="6"/>
  <c r="J44" i="6"/>
  <c r="J67" i="6" s="1"/>
  <c r="I44" i="6"/>
  <c r="G44" i="6"/>
  <c r="E44" i="6"/>
  <c r="D44" i="6"/>
  <c r="C44" i="6"/>
  <c r="E48" i="7"/>
  <c r="E47" i="7"/>
  <c r="E44" i="7"/>
  <c r="B61" i="7"/>
  <c r="S61" i="7" s="1"/>
  <c r="B53" i="7"/>
  <c r="S53" i="7" s="1"/>
  <c r="B52" i="7"/>
  <c r="B45" i="7"/>
  <c r="B40" i="7"/>
  <c r="S40" i="7" s="1"/>
  <c r="B39" i="7"/>
  <c r="S39" i="7" s="1"/>
  <c r="B35" i="7"/>
  <c r="S35" i="7" s="1"/>
  <c r="B34" i="7"/>
  <c r="S34" i="7" s="1"/>
  <c r="B32" i="7"/>
  <c r="S32" i="7" s="1"/>
  <c r="B31" i="7"/>
  <c r="S31" i="7" s="1"/>
  <c r="B30" i="7"/>
  <c r="S30" i="7" s="1"/>
  <c r="B29" i="7"/>
  <c r="S29" i="7" s="1"/>
  <c r="B28" i="7"/>
  <c r="S28" i="7" s="1"/>
  <c r="B27" i="7"/>
  <c r="S27" i="7" s="1"/>
  <c r="B19" i="7"/>
  <c r="S19" i="7" s="1"/>
  <c r="B18" i="7"/>
  <c r="S18" i="7" s="1"/>
  <c r="B16" i="7"/>
  <c r="B11" i="7"/>
  <c r="S11" i="7" s="1"/>
  <c r="B5" i="7"/>
  <c r="S5" i="7" s="1"/>
  <c r="R58" i="7"/>
  <c r="P58" i="7"/>
  <c r="O58" i="7"/>
  <c r="N58" i="7"/>
  <c r="M58" i="7"/>
  <c r="L58" i="7"/>
  <c r="J58" i="7"/>
  <c r="I58" i="7"/>
  <c r="H58" i="7"/>
  <c r="G58" i="7"/>
  <c r="F58" i="7"/>
  <c r="E58" i="7"/>
  <c r="D58" i="7"/>
  <c r="C58" i="7"/>
  <c r="B58" i="7"/>
  <c r="R55" i="7"/>
  <c r="Q55" i="7"/>
  <c r="P55" i="7"/>
  <c r="O55" i="7"/>
  <c r="N55" i="7"/>
  <c r="M55" i="7"/>
  <c r="L55" i="7"/>
  <c r="J55" i="7"/>
  <c r="I55" i="7"/>
  <c r="H55" i="7"/>
  <c r="G55" i="7"/>
  <c r="F55" i="7"/>
  <c r="E55" i="7"/>
  <c r="D55" i="7"/>
  <c r="C55" i="7"/>
  <c r="P51" i="7"/>
  <c r="O51" i="7"/>
  <c r="N51" i="7"/>
  <c r="M51" i="7"/>
  <c r="L51" i="7"/>
  <c r="J51" i="7"/>
  <c r="I51" i="7"/>
  <c r="H51" i="7"/>
  <c r="G51" i="7"/>
  <c r="F51" i="7"/>
  <c r="D51" i="7"/>
  <c r="C51" i="7"/>
  <c r="B51" i="7"/>
  <c r="R47" i="7"/>
  <c r="Q47" i="7"/>
  <c r="P47" i="7"/>
  <c r="O47" i="7"/>
  <c r="N47" i="7"/>
  <c r="M47" i="7"/>
  <c r="L47" i="7"/>
  <c r="J47" i="7"/>
  <c r="I47" i="7"/>
  <c r="H47" i="7"/>
  <c r="G47" i="7"/>
  <c r="F47" i="7"/>
  <c r="D47" i="7"/>
  <c r="C47" i="7"/>
  <c r="F44" i="7"/>
  <c r="R36" i="7"/>
  <c r="Q36" i="7"/>
  <c r="P36" i="7"/>
  <c r="O36" i="7"/>
  <c r="N36" i="7"/>
  <c r="M36" i="7"/>
  <c r="L36" i="7"/>
  <c r="J36" i="7"/>
  <c r="I36" i="7"/>
  <c r="H36" i="7"/>
  <c r="G36" i="7"/>
  <c r="F36" i="7"/>
  <c r="E36" i="7"/>
  <c r="D36" i="7"/>
  <c r="C36" i="7"/>
  <c r="R26" i="7"/>
  <c r="Q26" i="7"/>
  <c r="P26" i="7"/>
  <c r="O26" i="7"/>
  <c r="N26" i="7"/>
  <c r="M26" i="7"/>
  <c r="L26" i="7"/>
  <c r="J26" i="7"/>
  <c r="I26" i="7"/>
  <c r="H26" i="7"/>
  <c r="G26" i="7"/>
  <c r="F26" i="7"/>
  <c r="E26" i="7"/>
  <c r="D26" i="7"/>
  <c r="C26" i="7"/>
  <c r="B26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R17" i="7"/>
  <c r="Q17" i="7"/>
  <c r="P17" i="7"/>
  <c r="O17" i="7"/>
  <c r="N17" i="7"/>
  <c r="M17" i="7"/>
  <c r="L17" i="7"/>
  <c r="K17" i="7"/>
  <c r="J17" i="7"/>
  <c r="I17" i="7"/>
  <c r="H17" i="7"/>
  <c r="G17" i="7"/>
  <c r="E17" i="7"/>
  <c r="D17" i="7"/>
  <c r="C17" i="7"/>
  <c r="R12" i="7"/>
  <c r="Q12" i="7"/>
  <c r="P12" i="7"/>
  <c r="O12" i="7"/>
  <c r="N12" i="7"/>
  <c r="M12" i="7"/>
  <c r="L12" i="7"/>
  <c r="K12" i="7"/>
  <c r="K67" i="7" s="1"/>
  <c r="J12" i="7"/>
  <c r="I12" i="7"/>
  <c r="H12" i="7"/>
  <c r="G12" i="7"/>
  <c r="F12" i="7"/>
  <c r="E12" i="7"/>
  <c r="D12" i="7"/>
  <c r="C12" i="7"/>
  <c r="F43" i="5"/>
  <c r="F64" i="5"/>
  <c r="N26" i="6"/>
  <c r="R23" i="6"/>
  <c r="M55" i="6"/>
  <c r="M47" i="6"/>
  <c r="M36" i="6"/>
  <c r="L58" i="6"/>
  <c r="L55" i="6"/>
  <c r="L51" i="6"/>
  <c r="L47" i="6"/>
  <c r="L36" i="6"/>
  <c r="L26" i="6"/>
  <c r="L23" i="6"/>
  <c r="L17" i="6"/>
  <c r="L12" i="6"/>
  <c r="J51" i="6"/>
  <c r="I17" i="6"/>
  <c r="H39" i="6"/>
  <c r="H44" i="6" s="1"/>
  <c r="F66" i="6"/>
  <c r="S66" i="6" s="1"/>
  <c r="F16" i="6"/>
  <c r="C17" i="6"/>
  <c r="D17" i="6"/>
  <c r="E17" i="6"/>
  <c r="F17" i="6"/>
  <c r="G17" i="6"/>
  <c r="H17" i="6"/>
  <c r="K17" i="6"/>
  <c r="O17" i="6"/>
  <c r="P17" i="6"/>
  <c r="Q17" i="6"/>
  <c r="D51" i="6"/>
  <c r="F51" i="6"/>
  <c r="G51" i="6"/>
  <c r="H51" i="6"/>
  <c r="I51" i="6"/>
  <c r="K51" i="6"/>
  <c r="M51" i="6"/>
  <c r="N51" i="6"/>
  <c r="O51" i="6"/>
  <c r="P51" i="6"/>
  <c r="Q51" i="6"/>
  <c r="C51" i="6"/>
  <c r="E51" i="6"/>
  <c r="E12" i="6"/>
  <c r="E36" i="6"/>
  <c r="C66" i="6"/>
  <c r="C32" i="6"/>
  <c r="B32" i="6"/>
  <c r="B66" i="6"/>
  <c r="B61" i="6"/>
  <c r="S61" i="6" s="1"/>
  <c r="B53" i="6"/>
  <c r="S53" i="6" s="1"/>
  <c r="B52" i="6"/>
  <c r="S52" i="6" s="1"/>
  <c r="B45" i="6"/>
  <c r="B39" i="6"/>
  <c r="B40" i="6"/>
  <c r="S40" i="6" s="1"/>
  <c r="B35" i="6"/>
  <c r="S35" i="6" s="1"/>
  <c r="B34" i="6"/>
  <c r="S34" i="6" s="1"/>
  <c r="B31" i="6"/>
  <c r="S31" i="6" s="1"/>
  <c r="B30" i="6"/>
  <c r="B27" i="6"/>
  <c r="S27" i="6" s="1"/>
  <c r="B16" i="6"/>
  <c r="B19" i="6"/>
  <c r="S19" i="6" s="1"/>
  <c r="B18" i="6"/>
  <c r="S18" i="6"/>
  <c r="B11" i="6"/>
  <c r="S11" i="6" s="1"/>
  <c r="Q58" i="6"/>
  <c r="P58" i="6"/>
  <c r="O58" i="6"/>
  <c r="N58" i="6"/>
  <c r="M58" i="6"/>
  <c r="K58" i="6"/>
  <c r="J58" i="6"/>
  <c r="I58" i="6"/>
  <c r="H58" i="6"/>
  <c r="G58" i="6"/>
  <c r="F58" i="6"/>
  <c r="E58" i="6"/>
  <c r="D58" i="6"/>
  <c r="C58" i="6"/>
  <c r="Q55" i="6"/>
  <c r="P55" i="6"/>
  <c r="O55" i="6"/>
  <c r="N55" i="6"/>
  <c r="K55" i="6"/>
  <c r="J55" i="6"/>
  <c r="I55" i="6"/>
  <c r="H55" i="6"/>
  <c r="G55" i="6"/>
  <c r="F55" i="6"/>
  <c r="E55" i="6"/>
  <c r="D55" i="6"/>
  <c r="C55" i="6"/>
  <c r="Q47" i="6"/>
  <c r="P47" i="6"/>
  <c r="O47" i="6"/>
  <c r="N47" i="6"/>
  <c r="K47" i="6"/>
  <c r="J47" i="6"/>
  <c r="I47" i="6"/>
  <c r="H47" i="6"/>
  <c r="G47" i="6"/>
  <c r="F47" i="6"/>
  <c r="D47" i="6"/>
  <c r="C47" i="6"/>
  <c r="Q44" i="6"/>
  <c r="F44" i="6"/>
  <c r="Q36" i="6"/>
  <c r="P36" i="6"/>
  <c r="O36" i="6"/>
  <c r="K36" i="6"/>
  <c r="J36" i="6"/>
  <c r="I36" i="6"/>
  <c r="H36" i="6"/>
  <c r="G36" i="6"/>
  <c r="F36" i="6"/>
  <c r="D36" i="6"/>
  <c r="Q26" i="6"/>
  <c r="P26" i="6"/>
  <c r="O26" i="6"/>
  <c r="K26" i="6"/>
  <c r="J26" i="6"/>
  <c r="I26" i="6"/>
  <c r="H26" i="6"/>
  <c r="G26" i="6"/>
  <c r="F26" i="6"/>
  <c r="E26" i="6"/>
  <c r="D26" i="6"/>
  <c r="C26" i="6"/>
  <c r="Q23" i="6"/>
  <c r="P23" i="6"/>
  <c r="O23" i="6"/>
  <c r="N23" i="6"/>
  <c r="M23" i="6"/>
  <c r="K23" i="6"/>
  <c r="J23" i="6"/>
  <c r="I23" i="6"/>
  <c r="H23" i="6"/>
  <c r="G23" i="6"/>
  <c r="F23" i="6"/>
  <c r="E23" i="6"/>
  <c r="D23" i="6"/>
  <c r="C23" i="6"/>
  <c r="Q12" i="6"/>
  <c r="P12" i="6"/>
  <c r="K12" i="6"/>
  <c r="J12" i="6"/>
  <c r="I12" i="6"/>
  <c r="H12" i="6"/>
  <c r="G12" i="6"/>
  <c r="F12" i="6"/>
  <c r="D12" i="6"/>
  <c r="C12" i="6"/>
  <c r="J50" i="3"/>
  <c r="J23" i="3"/>
  <c r="J23" i="5"/>
  <c r="I16" i="5"/>
  <c r="J12" i="5"/>
  <c r="J35" i="5"/>
  <c r="J16" i="5"/>
  <c r="K46" i="3"/>
  <c r="Q16" i="5"/>
  <c r="K16" i="5"/>
  <c r="K50" i="5"/>
  <c r="H12" i="5"/>
  <c r="J50" i="5"/>
  <c r="P50" i="5"/>
  <c r="P16" i="5"/>
  <c r="N16" i="5"/>
  <c r="M16" i="5"/>
  <c r="L50" i="5"/>
  <c r="L16" i="5"/>
  <c r="D16" i="5"/>
  <c r="O50" i="5"/>
  <c r="O16" i="5"/>
  <c r="F26" i="5"/>
  <c r="F35" i="5"/>
  <c r="F50" i="5"/>
  <c r="F16" i="5"/>
  <c r="G16" i="5"/>
  <c r="G50" i="5"/>
  <c r="C16" i="5"/>
  <c r="C50" i="5"/>
  <c r="B50" i="5"/>
  <c r="B16" i="5"/>
  <c r="S14" i="5"/>
  <c r="S63" i="5"/>
  <c r="S62" i="5"/>
  <c r="S61" i="5"/>
  <c r="S60" i="5"/>
  <c r="S59" i="5"/>
  <c r="S58" i="5"/>
  <c r="R57" i="5"/>
  <c r="Q57" i="5"/>
  <c r="P57" i="5"/>
  <c r="O57" i="5"/>
  <c r="N57" i="5"/>
  <c r="M57" i="5"/>
  <c r="L57" i="5"/>
  <c r="J57" i="5"/>
  <c r="I57" i="5"/>
  <c r="H57" i="5"/>
  <c r="G57" i="5"/>
  <c r="F57" i="5"/>
  <c r="E57" i="5"/>
  <c r="D57" i="5"/>
  <c r="C57" i="5"/>
  <c r="B57" i="5"/>
  <c r="K57" i="5"/>
  <c r="S55" i="5"/>
  <c r="R54" i="5"/>
  <c r="Q54" i="5"/>
  <c r="P54" i="5"/>
  <c r="O54" i="5"/>
  <c r="N54" i="5"/>
  <c r="M54" i="5"/>
  <c r="L54" i="5"/>
  <c r="K54" i="5"/>
  <c r="J54" i="5"/>
  <c r="I54" i="5"/>
  <c r="H54" i="5"/>
  <c r="G54" i="5"/>
  <c r="S54" i="5" s="1"/>
  <c r="F54" i="5"/>
  <c r="E54" i="5"/>
  <c r="D54" i="5"/>
  <c r="C54" i="5"/>
  <c r="B54" i="5"/>
  <c r="S53" i="5"/>
  <c r="S52" i="5"/>
  <c r="S51" i="5"/>
  <c r="R50" i="5"/>
  <c r="Q50" i="5"/>
  <c r="N50" i="5"/>
  <c r="M50" i="5"/>
  <c r="I50" i="5"/>
  <c r="H50" i="5"/>
  <c r="E50" i="5"/>
  <c r="D50" i="5"/>
  <c r="S49" i="5"/>
  <c r="S48" i="5"/>
  <c r="S47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S45" i="5"/>
  <c r="S44" i="5"/>
  <c r="R43" i="5"/>
  <c r="Q43" i="5"/>
  <c r="P43" i="5"/>
  <c r="M43" i="5"/>
  <c r="J43" i="5"/>
  <c r="G43" i="5"/>
  <c r="E43" i="5"/>
  <c r="D43" i="5"/>
  <c r="C43" i="5"/>
  <c r="S41" i="5"/>
  <c r="S40" i="5"/>
  <c r="S39" i="5"/>
  <c r="H43" i="5"/>
  <c r="S38" i="5"/>
  <c r="O43" i="5"/>
  <c r="N43" i="5"/>
  <c r="L43" i="5"/>
  <c r="K43" i="5"/>
  <c r="I43" i="5"/>
  <c r="B43" i="5"/>
  <c r="S36" i="5"/>
  <c r="Q35" i="5"/>
  <c r="P35" i="5"/>
  <c r="O35" i="5"/>
  <c r="M35" i="5"/>
  <c r="I35" i="5"/>
  <c r="H35" i="5"/>
  <c r="G35" i="5"/>
  <c r="E35" i="5"/>
  <c r="D35" i="5"/>
  <c r="S34" i="5"/>
  <c r="S33" i="5"/>
  <c r="S32" i="5"/>
  <c r="R35" i="5"/>
  <c r="N35" i="5"/>
  <c r="L35" i="5"/>
  <c r="K35" i="5"/>
  <c r="C35" i="5"/>
  <c r="B35" i="5"/>
  <c r="S30" i="5"/>
  <c r="S29" i="5"/>
  <c r="S28" i="5"/>
  <c r="S27" i="5"/>
  <c r="R26" i="5"/>
  <c r="Q26" i="5"/>
  <c r="P26" i="5"/>
  <c r="O26" i="5"/>
  <c r="N26" i="5"/>
  <c r="M26" i="5"/>
  <c r="L26" i="5"/>
  <c r="K26" i="5"/>
  <c r="J26" i="5"/>
  <c r="I26" i="5"/>
  <c r="H26" i="5"/>
  <c r="G26" i="5"/>
  <c r="E26" i="5"/>
  <c r="D26" i="5"/>
  <c r="C26" i="5"/>
  <c r="B26" i="5"/>
  <c r="S25" i="5"/>
  <c r="S24" i="5"/>
  <c r="R23" i="5"/>
  <c r="Q23" i="5"/>
  <c r="P23" i="5"/>
  <c r="O23" i="5"/>
  <c r="N23" i="5"/>
  <c r="M23" i="5"/>
  <c r="L23" i="5"/>
  <c r="K23" i="5"/>
  <c r="I23" i="5"/>
  <c r="H23" i="5"/>
  <c r="G23" i="5"/>
  <c r="F23" i="5"/>
  <c r="E23" i="5"/>
  <c r="D23" i="5"/>
  <c r="C23" i="5"/>
  <c r="B23" i="5"/>
  <c r="S22" i="5"/>
  <c r="S21" i="5"/>
  <c r="S20" i="5"/>
  <c r="S19" i="5"/>
  <c r="S18" i="5"/>
  <c r="S17" i="5"/>
  <c r="R16" i="5"/>
  <c r="H16" i="5"/>
  <c r="E16" i="5"/>
  <c r="S15" i="5"/>
  <c r="R12" i="5"/>
  <c r="Q12" i="5"/>
  <c r="O12" i="5"/>
  <c r="N12" i="5"/>
  <c r="M12" i="5"/>
  <c r="L12" i="5"/>
  <c r="K12" i="5"/>
  <c r="I12" i="5"/>
  <c r="G12" i="5"/>
  <c r="F12" i="5"/>
  <c r="D12" i="5"/>
  <c r="C12" i="5"/>
  <c r="B12" i="5"/>
  <c r="S11" i="5"/>
  <c r="S10" i="5"/>
  <c r="S9" i="5"/>
  <c r="S8" i="5"/>
  <c r="S7" i="5"/>
  <c r="S6" i="5"/>
  <c r="P12" i="5"/>
  <c r="E57" i="3"/>
  <c r="K32" i="3"/>
  <c r="K36" i="3" s="1"/>
  <c r="K56" i="3"/>
  <c r="K57" i="3" s="1"/>
  <c r="K38" i="3"/>
  <c r="K13" i="3"/>
  <c r="K15" i="3" s="1"/>
  <c r="K16" i="3"/>
  <c r="F13" i="3"/>
  <c r="F15" i="3" s="1"/>
  <c r="F57" i="3"/>
  <c r="S49" i="3"/>
  <c r="N32" i="3"/>
  <c r="N36" i="3" s="1"/>
  <c r="N38" i="3"/>
  <c r="N43" i="3" s="1"/>
  <c r="N40" i="3"/>
  <c r="N13" i="3"/>
  <c r="N15" i="3" s="1"/>
  <c r="R32" i="3"/>
  <c r="R36" i="3" s="1"/>
  <c r="R47" i="3"/>
  <c r="R50" i="3" s="1"/>
  <c r="P38" i="3"/>
  <c r="P6" i="3"/>
  <c r="S6" i="3" s="1"/>
  <c r="O38" i="3"/>
  <c r="O13" i="3"/>
  <c r="M13" i="3"/>
  <c r="M15" i="3" s="1"/>
  <c r="L32" i="3"/>
  <c r="L36" i="3" s="1"/>
  <c r="L44" i="3"/>
  <c r="L46" i="3"/>
  <c r="L38" i="3"/>
  <c r="L43" i="3" s="1"/>
  <c r="L13" i="3"/>
  <c r="L15" i="3" s="1"/>
  <c r="I38" i="3"/>
  <c r="I43" i="3" s="1"/>
  <c r="H40" i="3"/>
  <c r="D38" i="3"/>
  <c r="D43" i="3" s="1"/>
  <c r="D13" i="3"/>
  <c r="D15" i="3" s="1"/>
  <c r="B38" i="3"/>
  <c r="B43" i="3" s="1"/>
  <c r="B32" i="3"/>
  <c r="B36" i="3" s="1"/>
  <c r="C32" i="3"/>
  <c r="C13" i="3"/>
  <c r="C15" i="3" s="1"/>
  <c r="S65" i="3"/>
  <c r="S64" i="3"/>
  <c r="S63" i="3"/>
  <c r="S62" i="3"/>
  <c r="S61" i="3"/>
  <c r="S59" i="3"/>
  <c r="S58" i="3"/>
  <c r="S60" i="3"/>
  <c r="R57" i="3"/>
  <c r="Q57" i="3"/>
  <c r="P57" i="3"/>
  <c r="O57" i="3"/>
  <c r="N57" i="3"/>
  <c r="M57" i="3"/>
  <c r="L57" i="3"/>
  <c r="J57" i="3"/>
  <c r="I57" i="3"/>
  <c r="H57" i="3"/>
  <c r="G57" i="3"/>
  <c r="D57" i="3"/>
  <c r="C57" i="3"/>
  <c r="B57" i="3"/>
  <c r="S55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D54" i="3"/>
  <c r="C54" i="3"/>
  <c r="B54" i="3"/>
  <c r="S53" i="3"/>
  <c r="S52" i="3"/>
  <c r="S51" i="3"/>
  <c r="Q50" i="3"/>
  <c r="P50" i="3"/>
  <c r="O50" i="3"/>
  <c r="N50" i="3"/>
  <c r="M50" i="3"/>
  <c r="L50" i="3"/>
  <c r="K50" i="3"/>
  <c r="I50" i="3"/>
  <c r="H50" i="3"/>
  <c r="G50" i="3"/>
  <c r="F50" i="3"/>
  <c r="E50" i="3"/>
  <c r="D50" i="3"/>
  <c r="C50" i="3"/>
  <c r="B50" i="3"/>
  <c r="S48" i="3"/>
  <c r="R46" i="3"/>
  <c r="Q46" i="3"/>
  <c r="P46" i="3"/>
  <c r="O46" i="3"/>
  <c r="N46" i="3"/>
  <c r="M46" i="3"/>
  <c r="J46" i="3"/>
  <c r="I46" i="3"/>
  <c r="H46" i="3"/>
  <c r="G46" i="3"/>
  <c r="F46" i="3"/>
  <c r="E46" i="3"/>
  <c r="D46" i="3"/>
  <c r="C46" i="3"/>
  <c r="B46" i="3"/>
  <c r="S45" i="3"/>
  <c r="R43" i="3"/>
  <c r="Q43" i="3"/>
  <c r="P43" i="3"/>
  <c r="J43" i="3"/>
  <c r="F43" i="3"/>
  <c r="E43" i="3"/>
  <c r="C43" i="3"/>
  <c r="O43" i="3"/>
  <c r="M43" i="3"/>
  <c r="G43" i="3"/>
  <c r="S42" i="3"/>
  <c r="S41" i="3"/>
  <c r="S39" i="3"/>
  <c r="S37" i="3"/>
  <c r="Q36" i="3"/>
  <c r="P36" i="3"/>
  <c r="M36" i="3"/>
  <c r="J36" i="3"/>
  <c r="I36" i="3"/>
  <c r="H36" i="3"/>
  <c r="F36" i="3"/>
  <c r="E36" i="3"/>
  <c r="D36" i="3"/>
  <c r="S29" i="3"/>
  <c r="S35" i="3"/>
  <c r="S34" i="3"/>
  <c r="S33" i="3"/>
  <c r="O36" i="3"/>
  <c r="S31" i="3"/>
  <c r="S30" i="3"/>
  <c r="S28" i="3"/>
  <c r="S27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B26" i="3"/>
  <c r="S25" i="3"/>
  <c r="S24" i="3"/>
  <c r="R23" i="3"/>
  <c r="Q23" i="3"/>
  <c r="P23" i="3"/>
  <c r="O23" i="3"/>
  <c r="N23" i="3"/>
  <c r="M23" i="3"/>
  <c r="L23" i="3"/>
  <c r="K23" i="3"/>
  <c r="I23" i="3"/>
  <c r="H23" i="3"/>
  <c r="G23" i="3"/>
  <c r="F23" i="3"/>
  <c r="E23" i="3"/>
  <c r="D23" i="3"/>
  <c r="C23" i="3"/>
  <c r="B23" i="3"/>
  <c r="S22" i="3"/>
  <c r="S21" i="3"/>
  <c r="S20" i="3"/>
  <c r="S19" i="3"/>
  <c r="S18" i="3"/>
  <c r="S17" i="3"/>
  <c r="S16" i="3"/>
  <c r="R15" i="3"/>
  <c r="Q15" i="3"/>
  <c r="P15" i="3"/>
  <c r="O15" i="3"/>
  <c r="J15" i="3"/>
  <c r="I15" i="3"/>
  <c r="H15" i="3"/>
  <c r="G15" i="3"/>
  <c r="E15" i="3"/>
  <c r="B15" i="3"/>
  <c r="S14" i="3"/>
  <c r="R12" i="3"/>
  <c r="Q12" i="3"/>
  <c r="P12" i="3"/>
  <c r="N12" i="3"/>
  <c r="M12" i="3"/>
  <c r="J12" i="3"/>
  <c r="I12" i="3"/>
  <c r="H12" i="3"/>
  <c r="F12" i="3"/>
  <c r="E12" i="3"/>
  <c r="D12" i="3"/>
  <c r="C12" i="3"/>
  <c r="B12" i="3"/>
  <c r="S11" i="3"/>
  <c r="S10" i="3"/>
  <c r="S9" i="3"/>
  <c r="S8" i="3"/>
  <c r="S7" i="3"/>
  <c r="O12" i="3"/>
  <c r="L12" i="3"/>
  <c r="K12" i="3"/>
  <c r="S5" i="3"/>
  <c r="G12" i="3"/>
  <c r="P42" i="2"/>
  <c r="P43" i="2"/>
  <c r="Q64" i="2"/>
  <c r="R47" i="2"/>
  <c r="R49" i="2" s="1"/>
  <c r="R31" i="2"/>
  <c r="R36" i="2" s="1"/>
  <c r="O64" i="2"/>
  <c r="O6" i="2"/>
  <c r="O31" i="2"/>
  <c r="O36" i="2"/>
  <c r="O42" i="2"/>
  <c r="N64" i="2"/>
  <c r="N31" i="2"/>
  <c r="N36" i="2" s="1"/>
  <c r="N65" i="2" s="1"/>
  <c r="N42" i="2"/>
  <c r="N43" i="2" s="1"/>
  <c r="N39" i="2"/>
  <c r="M42" i="2"/>
  <c r="L64" i="2"/>
  <c r="L6" i="2"/>
  <c r="L12" i="2" s="1"/>
  <c r="L31" i="2"/>
  <c r="L36" i="2" s="1"/>
  <c r="L44" i="2"/>
  <c r="L46" i="2" s="1"/>
  <c r="L42" i="2"/>
  <c r="L16" i="2"/>
  <c r="R23" i="2"/>
  <c r="Q23" i="2"/>
  <c r="P23" i="2"/>
  <c r="O23" i="2"/>
  <c r="N23" i="2"/>
  <c r="M23" i="2"/>
  <c r="L23" i="2"/>
  <c r="J23" i="2"/>
  <c r="I23" i="2"/>
  <c r="H23" i="2"/>
  <c r="G23" i="2"/>
  <c r="F23" i="2"/>
  <c r="E23" i="2"/>
  <c r="D23" i="2"/>
  <c r="C23" i="2"/>
  <c r="B23" i="2"/>
  <c r="K23" i="2"/>
  <c r="K6" i="2"/>
  <c r="K12" i="2" s="1"/>
  <c r="K64" i="2"/>
  <c r="K31" i="2"/>
  <c r="K36" i="2" s="1"/>
  <c r="K44" i="2"/>
  <c r="K46" i="2"/>
  <c r="K42" i="2"/>
  <c r="K16" i="2"/>
  <c r="S16" i="2"/>
  <c r="I46" i="2"/>
  <c r="H39" i="2"/>
  <c r="G64" i="2"/>
  <c r="G6" i="2"/>
  <c r="S6" i="2"/>
  <c r="G31" i="2"/>
  <c r="G36" i="2" s="1"/>
  <c r="G42" i="2"/>
  <c r="G43" i="2" s="1"/>
  <c r="S51" i="2"/>
  <c r="G53" i="2"/>
  <c r="S20" i="2"/>
  <c r="G5" i="2"/>
  <c r="F64" i="2"/>
  <c r="F13" i="2"/>
  <c r="S13" i="2" s="1"/>
  <c r="Q36" i="2"/>
  <c r="P36" i="2"/>
  <c r="M36" i="2"/>
  <c r="J36" i="2"/>
  <c r="I36" i="2"/>
  <c r="H36" i="2"/>
  <c r="F36" i="2"/>
  <c r="E36" i="2"/>
  <c r="D36" i="2"/>
  <c r="B36" i="2"/>
  <c r="C64" i="2"/>
  <c r="C31" i="2"/>
  <c r="C36" i="2" s="1"/>
  <c r="O15" i="2"/>
  <c r="S63" i="2"/>
  <c r="S19" i="2"/>
  <c r="S62" i="2"/>
  <c r="S61" i="2"/>
  <c r="S60" i="2"/>
  <c r="S59" i="2"/>
  <c r="S58" i="2"/>
  <c r="S57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S55" i="2"/>
  <c r="S54" i="2"/>
  <c r="R53" i="2"/>
  <c r="Q53" i="2"/>
  <c r="P53" i="2"/>
  <c r="O53" i="2"/>
  <c r="N53" i="2"/>
  <c r="M53" i="2"/>
  <c r="L53" i="2"/>
  <c r="K53" i="2"/>
  <c r="J53" i="2"/>
  <c r="I53" i="2"/>
  <c r="H53" i="2"/>
  <c r="F53" i="2"/>
  <c r="E53" i="2"/>
  <c r="D53" i="2"/>
  <c r="C53" i="2"/>
  <c r="B53" i="2"/>
  <c r="B65" i="2" s="1"/>
  <c r="S52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S48" i="2"/>
  <c r="R46" i="2"/>
  <c r="Q46" i="2"/>
  <c r="P46" i="2"/>
  <c r="O46" i="2"/>
  <c r="N46" i="2"/>
  <c r="M46" i="2"/>
  <c r="J46" i="2"/>
  <c r="H46" i="2"/>
  <c r="G46" i="2"/>
  <c r="F46" i="2"/>
  <c r="E46" i="2"/>
  <c r="D46" i="2"/>
  <c r="C46" i="2"/>
  <c r="B46" i="2"/>
  <c r="S45" i="2"/>
  <c r="R43" i="2"/>
  <c r="Q43" i="2"/>
  <c r="O43" i="2"/>
  <c r="M43" i="2"/>
  <c r="L43" i="2"/>
  <c r="J43" i="2"/>
  <c r="I43" i="2"/>
  <c r="F43" i="2"/>
  <c r="E43" i="2"/>
  <c r="D43" i="2"/>
  <c r="C43" i="2"/>
  <c r="B43" i="2"/>
  <c r="S41" i="2"/>
  <c r="S40" i="2"/>
  <c r="S38" i="2"/>
  <c r="S37" i="2"/>
  <c r="S34" i="2"/>
  <c r="S33" i="2"/>
  <c r="S32" i="2"/>
  <c r="S30" i="2"/>
  <c r="S29" i="2"/>
  <c r="S35" i="2"/>
  <c r="S28" i="2"/>
  <c r="S27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S25" i="2"/>
  <c r="S24" i="2"/>
  <c r="S22" i="2"/>
  <c r="S21" i="2"/>
  <c r="S18" i="2"/>
  <c r="S17" i="2"/>
  <c r="R15" i="2"/>
  <c r="Q15" i="2"/>
  <c r="P15" i="2"/>
  <c r="N15" i="2"/>
  <c r="M15" i="2"/>
  <c r="L15" i="2"/>
  <c r="K15" i="2"/>
  <c r="J15" i="2"/>
  <c r="I15" i="2"/>
  <c r="H15" i="2"/>
  <c r="G15" i="2"/>
  <c r="E15" i="2"/>
  <c r="D15" i="2"/>
  <c r="C15" i="2"/>
  <c r="B15" i="2"/>
  <c r="S14" i="2"/>
  <c r="R12" i="2"/>
  <c r="Q12" i="2"/>
  <c r="P12" i="2"/>
  <c r="O12" i="2"/>
  <c r="N12" i="2"/>
  <c r="M12" i="2"/>
  <c r="J12" i="2"/>
  <c r="I12" i="2"/>
  <c r="H12" i="2"/>
  <c r="F12" i="2"/>
  <c r="E12" i="2"/>
  <c r="D12" i="2"/>
  <c r="C12" i="2"/>
  <c r="B12" i="2"/>
  <c r="S11" i="2"/>
  <c r="S10" i="2"/>
  <c r="S9" i="2"/>
  <c r="S8" i="2"/>
  <c r="S7" i="2"/>
  <c r="S50" i="2"/>
  <c r="G36" i="3"/>
  <c r="K43" i="3"/>
  <c r="S56" i="5"/>
  <c r="S13" i="5"/>
  <c r="S31" i="5"/>
  <c r="S37" i="5"/>
  <c r="S44" i="3"/>
  <c r="B23" i="6"/>
  <c r="R47" i="6"/>
  <c r="R36" i="6"/>
  <c r="R12" i="6"/>
  <c r="R26" i="6"/>
  <c r="R58" i="6"/>
  <c r="R55" i="6"/>
  <c r="R51" i="6"/>
  <c r="R17" i="6"/>
  <c r="M26" i="6"/>
  <c r="M17" i="6"/>
  <c r="M12" i="6"/>
  <c r="O12" i="6"/>
  <c r="N36" i="6"/>
  <c r="N12" i="6"/>
  <c r="N17" i="6"/>
  <c r="S5" i="5"/>
  <c r="E12" i="5"/>
  <c r="F17" i="7"/>
  <c r="S40" i="3"/>
  <c r="H43" i="3"/>
  <c r="C36" i="6"/>
  <c r="S45" i="6"/>
  <c r="B47" i="6"/>
  <c r="S23" i="6" l="1"/>
  <c r="S64" i="2"/>
  <c r="G67" i="6"/>
  <c r="S47" i="3"/>
  <c r="E67" i="6"/>
  <c r="S47" i="6"/>
  <c r="S12" i="3"/>
  <c r="S39" i="6"/>
  <c r="H67" i="6"/>
  <c r="O65" i="5"/>
  <c r="S47" i="2"/>
  <c r="K66" i="3"/>
  <c r="Q65" i="5"/>
  <c r="S48" i="7"/>
  <c r="S23" i="5"/>
  <c r="P67" i="6"/>
  <c r="Q67" i="6"/>
  <c r="S23" i="2"/>
  <c r="J66" i="3"/>
  <c r="S26" i="5"/>
  <c r="S44" i="7"/>
  <c r="Q67" i="7"/>
  <c r="S45" i="7"/>
  <c r="D65" i="2"/>
  <c r="N65" i="5"/>
  <c r="P65" i="5"/>
  <c r="E65" i="2"/>
  <c r="P65" i="2"/>
  <c r="Q65" i="2"/>
  <c r="S44" i="2"/>
  <c r="N66" i="3"/>
  <c r="S46" i="3"/>
  <c r="G66" i="3"/>
  <c r="S50" i="3"/>
  <c r="S56" i="3"/>
  <c r="S15" i="3"/>
  <c r="R65" i="5"/>
  <c r="B55" i="7"/>
  <c r="S52" i="7"/>
  <c r="K65" i="5"/>
  <c r="D44" i="7"/>
  <c r="D67" i="7" s="1"/>
  <c r="S43" i="7"/>
  <c r="B55" i="6"/>
  <c r="S55" i="6" s="1"/>
  <c r="B44" i="6"/>
  <c r="S44" i="6" s="1"/>
  <c r="N67" i="6"/>
  <c r="M67" i="6"/>
  <c r="F15" i="2"/>
  <c r="F65" i="2" s="1"/>
  <c r="R65" i="2"/>
  <c r="S53" i="2"/>
  <c r="Q66" i="3"/>
  <c r="H66" i="3"/>
  <c r="F65" i="5"/>
  <c r="R67" i="6"/>
  <c r="S58" i="7"/>
  <c r="L65" i="5"/>
  <c r="J65" i="2"/>
  <c r="S42" i="2"/>
  <c r="S23" i="3"/>
  <c r="F66" i="3"/>
  <c r="S32" i="6"/>
  <c r="F67" i="7"/>
  <c r="C67" i="7"/>
  <c r="B17" i="7"/>
  <c r="S17" i="7" s="1"/>
  <c r="S16" i="7"/>
  <c r="E51" i="7"/>
  <c r="E67" i="7" s="1"/>
  <c r="B12" i="7"/>
  <c r="S12" i="7" s="1"/>
  <c r="S26" i="7"/>
  <c r="M67" i="7"/>
  <c r="J67" i="7"/>
  <c r="S23" i="7"/>
  <c r="L67" i="7"/>
  <c r="P67" i="7"/>
  <c r="L67" i="6"/>
  <c r="S58" i="6"/>
  <c r="S26" i="6"/>
  <c r="S43" i="5"/>
  <c r="B17" i="6"/>
  <c r="S17" i="6" s="1"/>
  <c r="S16" i="6"/>
  <c r="B12" i="6"/>
  <c r="B66" i="3"/>
  <c r="L66" i="3"/>
  <c r="C67" i="6"/>
  <c r="O67" i="6"/>
  <c r="O67" i="7"/>
  <c r="B36" i="7"/>
  <c r="S36" i="7" s="1"/>
  <c r="S57" i="3"/>
  <c r="S26" i="2"/>
  <c r="M65" i="2"/>
  <c r="S31" i="2"/>
  <c r="S39" i="2"/>
  <c r="H43" i="2"/>
  <c r="H65" i="2" s="1"/>
  <c r="K43" i="2"/>
  <c r="K65" i="2" s="1"/>
  <c r="L65" i="2"/>
  <c r="O65" i="2"/>
  <c r="S54" i="3"/>
  <c r="R66" i="3"/>
  <c r="I66" i="3"/>
  <c r="M66" i="3"/>
  <c r="S12" i="5"/>
  <c r="D67" i="6"/>
  <c r="I67" i="6"/>
  <c r="S30" i="6"/>
  <c r="B36" i="6"/>
  <c r="S36" i="6" s="1"/>
  <c r="S51" i="6"/>
  <c r="B44" i="7"/>
  <c r="S55" i="7"/>
  <c r="I67" i="7"/>
  <c r="S36" i="2"/>
  <c r="C65" i="2"/>
  <c r="D66" i="3"/>
  <c r="P66" i="3"/>
  <c r="C36" i="3"/>
  <c r="S36" i="3" s="1"/>
  <c r="S32" i="3"/>
  <c r="S35" i="5"/>
  <c r="I65" i="5"/>
  <c r="G67" i="7"/>
  <c r="N67" i="7"/>
  <c r="S13" i="3"/>
  <c r="S46" i="2"/>
  <c r="S49" i="2"/>
  <c r="S26" i="3"/>
  <c r="D65" i="5"/>
  <c r="S57" i="5"/>
  <c r="H65" i="5"/>
  <c r="M65" i="5"/>
  <c r="S64" i="5"/>
  <c r="S50" i="5"/>
  <c r="C65" i="5"/>
  <c r="F67" i="6"/>
  <c r="R51" i="7"/>
  <c r="R67" i="7" s="1"/>
  <c r="B47" i="7"/>
  <c r="S47" i="7" s="1"/>
  <c r="S56" i="2"/>
  <c r="S46" i="5"/>
  <c r="E65" i="5"/>
  <c r="H67" i="7"/>
  <c r="I65" i="2"/>
  <c r="G12" i="2"/>
  <c r="S12" i="2" s="1"/>
  <c r="S5" i="2"/>
  <c r="E66" i="3"/>
  <c r="O66" i="3"/>
  <c r="S38" i="3"/>
  <c r="B65" i="5"/>
  <c r="J65" i="5"/>
  <c r="S16" i="5"/>
  <c r="G65" i="5"/>
  <c r="K67" i="6"/>
  <c r="S15" i="2" l="1"/>
  <c r="G65" i="2"/>
  <c r="S65" i="5"/>
  <c r="T52" i="5" s="1"/>
  <c r="S65" i="2"/>
  <c r="T27" i="5"/>
  <c r="T57" i="5"/>
  <c r="T18" i="5"/>
  <c r="T35" i="5"/>
  <c r="S51" i="7"/>
  <c r="T13" i="5"/>
  <c r="T60" i="5"/>
  <c r="T11" i="5"/>
  <c r="T48" i="5"/>
  <c r="T16" i="5"/>
  <c r="T9" i="5"/>
  <c r="T26" i="5"/>
  <c r="T56" i="5"/>
  <c r="C66" i="3"/>
  <c r="S66" i="3" s="1"/>
  <c r="T54" i="3" s="1"/>
  <c r="T59" i="5"/>
  <c r="T32" i="5"/>
  <c r="T30" i="5"/>
  <c r="T38" i="5"/>
  <c r="T47" i="5"/>
  <c r="T37" i="5"/>
  <c r="T15" i="5"/>
  <c r="T5" i="5"/>
  <c r="T45" i="5"/>
  <c r="T14" i="5"/>
  <c r="T33" i="5"/>
  <c r="T21" i="5"/>
  <c r="T41" i="5"/>
  <c r="T62" i="5"/>
  <c r="T8" i="5"/>
  <c r="T40" i="5"/>
  <c r="T24" i="5"/>
  <c r="T65" i="5"/>
  <c r="T17" i="5"/>
  <c r="T34" i="5"/>
  <c r="T28" i="5"/>
  <c r="T55" i="5"/>
  <c r="T29" i="5"/>
  <c r="T51" i="5"/>
  <c r="T53" i="5"/>
  <c r="T61" i="5"/>
  <c r="T23" i="5"/>
  <c r="T58" i="5"/>
  <c r="T36" i="5"/>
  <c r="T25" i="5"/>
  <c r="T10" i="5"/>
  <c r="T31" i="5"/>
  <c r="T63" i="5"/>
  <c r="T6" i="5"/>
  <c r="T49" i="5"/>
  <c r="T19" i="5"/>
  <c r="T64" i="5"/>
  <c r="T39" i="5"/>
  <c r="S43" i="3"/>
  <c r="T20" i="5"/>
  <c r="T7" i="5"/>
  <c r="S12" i="6"/>
  <c r="B67" i="6"/>
  <c r="S67" i="6" s="1"/>
  <c r="T16" i="6" s="1"/>
  <c r="T46" i="5"/>
  <c r="T50" i="5"/>
  <c r="T22" i="5"/>
  <c r="T12" i="5"/>
  <c r="S43" i="2"/>
  <c r="B67" i="7"/>
  <c r="S67" i="7" s="1"/>
  <c r="T43" i="5"/>
  <c r="T54" i="5"/>
  <c r="T44" i="5"/>
  <c r="T38" i="3" l="1"/>
  <c r="T32" i="3"/>
  <c r="T26" i="3"/>
  <c r="T36" i="6"/>
  <c r="T51" i="6"/>
  <c r="T17" i="2"/>
  <c r="T51" i="2"/>
  <c r="T34" i="2"/>
  <c r="T50" i="2"/>
  <c r="T16" i="2"/>
  <c r="T60" i="2"/>
  <c r="T47" i="2"/>
  <c r="T35" i="2"/>
  <c r="T33" i="2"/>
  <c r="T7" i="2"/>
  <c r="T10" i="2"/>
  <c r="T22" i="2"/>
  <c r="T8" i="2"/>
  <c r="T11" i="2"/>
  <c r="T21" i="2"/>
  <c r="T20" i="2"/>
  <c r="T45" i="2"/>
  <c r="T48" i="2"/>
  <c r="T37" i="2"/>
  <c r="T15" i="2"/>
  <c r="T65" i="2"/>
  <c r="T59" i="2"/>
  <c r="T14" i="2"/>
  <c r="T61" i="2"/>
  <c r="T24" i="2"/>
  <c r="T13" i="2"/>
  <c r="T6" i="2"/>
  <c r="T29" i="2"/>
  <c r="T63" i="2"/>
  <c r="T40" i="2"/>
  <c r="T44" i="2"/>
  <c r="T42" i="2"/>
  <c r="T23" i="2"/>
  <c r="T52" i="2"/>
  <c r="T62" i="2"/>
  <c r="T18" i="2"/>
  <c r="T54" i="2"/>
  <c r="T30" i="2"/>
  <c r="T19" i="2"/>
  <c r="T38" i="2"/>
  <c r="T53" i="2"/>
  <c r="T64" i="2"/>
  <c r="T55" i="2"/>
  <c r="T58" i="2"/>
  <c r="T27" i="2"/>
  <c r="T57" i="2"/>
  <c r="T9" i="2"/>
  <c r="T28" i="2"/>
  <c r="T41" i="2"/>
  <c r="T32" i="2"/>
  <c r="T25" i="2"/>
  <c r="T39" i="2"/>
  <c r="T12" i="6"/>
  <c r="T26" i="2"/>
  <c r="T56" i="2"/>
  <c r="T36" i="2"/>
  <c r="T5" i="2"/>
  <c r="T43" i="2"/>
  <c r="T46" i="2"/>
  <c r="T46" i="6"/>
  <c r="T15" i="6"/>
  <c r="T64" i="6"/>
  <c r="T34" i="6"/>
  <c r="T31" i="6"/>
  <c r="T27" i="6"/>
  <c r="T6" i="6"/>
  <c r="T60" i="6"/>
  <c r="T10" i="6"/>
  <c r="T40" i="6"/>
  <c r="T54" i="6"/>
  <c r="T67" i="6"/>
  <c r="T33" i="6"/>
  <c r="T37" i="6"/>
  <c r="T48" i="6"/>
  <c r="T53" i="6"/>
  <c r="T42" i="6"/>
  <c r="T57" i="6"/>
  <c r="T47" i="6"/>
  <c r="T39" i="6"/>
  <c r="T28" i="6"/>
  <c r="T35" i="6"/>
  <c r="T38" i="6"/>
  <c r="T5" i="6"/>
  <c r="T9" i="6"/>
  <c r="T25" i="6"/>
  <c r="T45" i="6"/>
  <c r="T7" i="6"/>
  <c r="T62" i="6"/>
  <c r="T22" i="6"/>
  <c r="T59" i="6"/>
  <c r="T19" i="6"/>
  <c r="T8" i="6"/>
  <c r="T65" i="6"/>
  <c r="T21" i="6"/>
  <c r="T52" i="6"/>
  <c r="T20" i="6"/>
  <c r="T50" i="6"/>
  <c r="T24" i="6"/>
  <c r="T56" i="6"/>
  <c r="T29" i="6"/>
  <c r="T32" i="6"/>
  <c r="T13" i="6"/>
  <c r="T44" i="6"/>
  <c r="T26" i="6"/>
  <c r="T63" i="6"/>
  <c r="T55" i="6"/>
  <c r="T61" i="6"/>
  <c r="T49" i="6"/>
  <c r="T66" i="6"/>
  <c r="T18" i="6"/>
  <c r="T14" i="6"/>
  <c r="T11" i="6"/>
  <c r="T23" i="6"/>
  <c r="T41" i="6"/>
  <c r="T58" i="6"/>
  <c r="T22" i="3"/>
  <c r="T49" i="3"/>
  <c r="T52" i="3"/>
  <c r="T39" i="3"/>
  <c r="T60" i="3"/>
  <c r="T33" i="3"/>
  <c r="T53" i="3"/>
  <c r="T47" i="3"/>
  <c r="T55" i="3"/>
  <c r="T66" i="3"/>
  <c r="T56" i="3"/>
  <c r="T35" i="3"/>
  <c r="T29" i="3"/>
  <c r="T41" i="3"/>
  <c r="T37" i="3"/>
  <c r="T48" i="3"/>
  <c r="T9" i="3"/>
  <c r="T14" i="3"/>
  <c r="T10" i="3"/>
  <c r="T40" i="3"/>
  <c r="T61" i="3"/>
  <c r="T18" i="3"/>
  <c r="T6" i="3"/>
  <c r="T59" i="3"/>
  <c r="T51" i="3"/>
  <c r="T8" i="3"/>
  <c r="T62" i="3"/>
  <c r="T27" i="3"/>
  <c r="T34" i="3"/>
  <c r="T45" i="3"/>
  <c r="T28" i="3"/>
  <c r="T21" i="3"/>
  <c r="T17" i="3"/>
  <c r="T7" i="3"/>
  <c r="T19" i="3"/>
  <c r="T30" i="3"/>
  <c r="T65" i="3"/>
  <c r="T64" i="3"/>
  <c r="T16" i="3"/>
  <c r="T24" i="3"/>
  <c r="T44" i="3"/>
  <c r="T63" i="3"/>
  <c r="T11" i="3"/>
  <c r="T42" i="3"/>
  <c r="T25" i="3"/>
  <c r="T23" i="3"/>
  <c r="T31" i="3"/>
  <c r="T50" i="3"/>
  <c r="T12" i="3"/>
  <c r="T5" i="3"/>
  <c r="T46" i="3"/>
  <c r="T15" i="3"/>
  <c r="T20" i="3"/>
  <c r="T58" i="3"/>
  <c r="T36" i="3"/>
  <c r="T57" i="3"/>
  <c r="T43" i="3"/>
  <c r="T30" i="6"/>
  <c r="T49" i="2"/>
  <c r="T17" i="6"/>
  <c r="T31" i="2"/>
  <c r="T13" i="3"/>
  <c r="T12" i="2"/>
  <c r="T32" i="7" l="1"/>
  <c r="T52" i="7"/>
  <c r="T39" i="7"/>
  <c r="T56" i="7"/>
  <c r="T42" i="7"/>
  <c r="T59" i="7"/>
  <c r="T15" i="7"/>
  <c r="T57" i="7"/>
  <c r="T22" i="7"/>
  <c r="T10" i="7"/>
  <c r="T38" i="7"/>
  <c r="T64" i="7"/>
  <c r="T63" i="7"/>
  <c r="T12" i="7"/>
  <c r="T48" i="7"/>
  <c r="T55" i="7"/>
  <c r="T26" i="7"/>
  <c r="T21" i="7"/>
  <c r="T33" i="7"/>
  <c r="T40" i="7"/>
  <c r="T66" i="7"/>
  <c r="T20" i="7"/>
  <c r="T44" i="7"/>
  <c r="T65" i="7"/>
  <c r="T49" i="7"/>
  <c r="T61" i="7"/>
  <c r="T54" i="7"/>
  <c r="T50" i="7"/>
  <c r="T5" i="7"/>
  <c r="T43" i="7"/>
  <c r="T23" i="7"/>
  <c r="T58" i="7"/>
  <c r="T27" i="7"/>
  <c r="T29" i="7"/>
  <c r="T36" i="7"/>
  <c r="T24" i="7"/>
  <c r="T11" i="7"/>
  <c r="T34" i="7"/>
  <c r="T18" i="7"/>
  <c r="T28" i="7"/>
  <c r="T45" i="7"/>
  <c r="T30" i="7"/>
  <c r="T62" i="7"/>
  <c r="T25" i="7"/>
  <c r="T13" i="7"/>
  <c r="T37" i="7"/>
  <c r="T14" i="7"/>
  <c r="T19" i="7"/>
  <c r="T71" i="7"/>
  <c r="T8" i="7"/>
  <c r="T60" i="7"/>
  <c r="T16" i="7"/>
  <c r="T53" i="7"/>
  <c r="T67" i="7"/>
  <c r="T9" i="7"/>
  <c r="T41" i="7"/>
  <c r="T31" i="7"/>
  <c r="T35" i="7"/>
  <c r="T7" i="7"/>
  <c r="T6" i="7"/>
  <c r="T46" i="7"/>
  <c r="T17" i="7"/>
  <c r="T47" i="7"/>
  <c r="T51" i="7"/>
</calcChain>
</file>

<file path=xl/sharedStrings.xml><?xml version="1.0" encoding="utf-8"?>
<sst xmlns="http://schemas.openxmlformats.org/spreadsheetml/2006/main" count="718" uniqueCount="121">
  <si>
    <t>MARCHE/GRUPPO</t>
  </si>
  <si>
    <t>A</t>
  </si>
  <si>
    <t>B</t>
  </si>
  <si>
    <t>F</t>
  </si>
  <si>
    <t>GR</t>
  </si>
  <si>
    <t>IRL</t>
  </si>
  <si>
    <t>LU</t>
  </si>
  <si>
    <t>NL</t>
  </si>
  <si>
    <t>PT</t>
  </si>
  <si>
    <t>UK</t>
  </si>
  <si>
    <t>ES</t>
  </si>
  <si>
    <t>SV</t>
  </si>
  <si>
    <t>N</t>
  </si>
  <si>
    <t>CH</t>
  </si>
  <si>
    <t>TOTALE</t>
  </si>
  <si>
    <t>%</t>
  </si>
  <si>
    <t>AUDI</t>
  </si>
  <si>
    <t>BENTLEY/R. ROYCE</t>
  </si>
  <si>
    <t>LAMBORGHINI</t>
  </si>
  <si>
    <t>SEAT</t>
  </si>
  <si>
    <t>SKODA</t>
  </si>
  <si>
    <t>VOLKSWAGEN</t>
  </si>
  <si>
    <t>ALTRI</t>
  </si>
  <si>
    <t>Totale VW GROUP</t>
  </si>
  <si>
    <t>CITROEN</t>
  </si>
  <si>
    <t>PEUGEOT</t>
  </si>
  <si>
    <t>Totale PSA</t>
  </si>
  <si>
    <t>Totale FORD</t>
  </si>
  <si>
    <t>Totale VOLVO CORP.</t>
  </si>
  <si>
    <t>CHEVROLET</t>
  </si>
  <si>
    <t>OPEL</t>
  </si>
  <si>
    <t>Totale GM</t>
  </si>
  <si>
    <t>DACIA</t>
  </si>
  <si>
    <t>RENAULT</t>
  </si>
  <si>
    <t>RENAULT-DACIA</t>
  </si>
  <si>
    <t>DAIHATSU</t>
  </si>
  <si>
    <t>HONDA</t>
  </si>
  <si>
    <t>LEXUS</t>
  </si>
  <si>
    <t>MAZDA</t>
  </si>
  <si>
    <t>MITSUBISHI</t>
  </si>
  <si>
    <t>NISSAN-INFINITI</t>
  </si>
  <si>
    <t>SUBARU</t>
  </si>
  <si>
    <t>SUZUKI</t>
  </si>
  <si>
    <t>TOYOTA</t>
  </si>
  <si>
    <t>Totale MARCHE GIAPPONESI</t>
  </si>
  <si>
    <t>ALFA ROMEO</t>
  </si>
  <si>
    <t>FERRARI</t>
  </si>
  <si>
    <t>FIAT</t>
  </si>
  <si>
    <t>LANCIA</t>
  </si>
  <si>
    <t>MASERATI</t>
  </si>
  <si>
    <t>CHRYSLER/DODGE/JEEP</t>
  </si>
  <si>
    <t>Totale FIAT  GROUP</t>
  </si>
  <si>
    <t>MERCEDES</t>
  </si>
  <si>
    <t>SMART</t>
  </si>
  <si>
    <t>Totale DAIMLER</t>
  </si>
  <si>
    <t>BMW</t>
  </si>
  <si>
    <t>MINI</t>
  </si>
  <si>
    <t>Totale BMW</t>
  </si>
  <si>
    <t>HYUNDAI</t>
  </si>
  <si>
    <t>KIA</t>
  </si>
  <si>
    <t>SSANGYONG</t>
  </si>
  <si>
    <t>Totale MARCHE COREANE</t>
  </si>
  <si>
    <t>JAGUAR</t>
  </si>
  <si>
    <t>LAND ROVER</t>
  </si>
  <si>
    <t>JAGUAR/LAND ROVER</t>
  </si>
  <si>
    <t>LADA</t>
  </si>
  <si>
    <t>ASTON MARTIN</t>
  </si>
  <si>
    <t>IVECO</t>
  </si>
  <si>
    <t>LOTUS</t>
  </si>
  <si>
    <t>PORSCHE</t>
  </si>
  <si>
    <t>PROTON</t>
  </si>
  <si>
    <t>TATA</t>
  </si>
  <si>
    <t>ALTRE</t>
  </si>
  <si>
    <t>fonte: Associazioni nazionali</t>
  </si>
  <si>
    <t>Totale SAAB</t>
  </si>
  <si>
    <t>CADILLAC</t>
  </si>
  <si>
    <t>TESLA</t>
  </si>
  <si>
    <t>BENTLEY</t>
  </si>
  <si>
    <t>ROLLS ROYCE</t>
  </si>
  <si>
    <r>
      <t>SF</t>
    </r>
    <r>
      <rPr>
        <b/>
        <vertAlign val="superscript"/>
        <sz val="9"/>
        <rFont val="Trebuchet MS"/>
        <family val="2"/>
      </rPr>
      <t>(1)</t>
    </r>
  </si>
  <si>
    <r>
      <t>D</t>
    </r>
    <r>
      <rPr>
        <b/>
        <vertAlign val="superscript"/>
        <sz val="9"/>
        <rFont val="Trebuchet MS"/>
        <family val="2"/>
      </rPr>
      <t>(1)</t>
    </r>
  </si>
  <si>
    <r>
      <t xml:space="preserve">ITALIA </t>
    </r>
    <r>
      <rPr>
        <b/>
        <vertAlign val="superscript"/>
        <sz val="9"/>
        <rFont val="Trebuchet MS"/>
        <family val="2"/>
      </rPr>
      <t>(2)</t>
    </r>
  </si>
  <si>
    <r>
      <t xml:space="preserve">DK </t>
    </r>
    <r>
      <rPr>
        <b/>
        <vertAlign val="superscript"/>
        <sz val="9"/>
        <rFont val="Trebuchet MS"/>
        <family val="2"/>
      </rPr>
      <t>(1)</t>
    </r>
  </si>
  <si>
    <r>
      <rPr>
        <vertAlign val="superscript"/>
        <sz val="9"/>
        <rFont val="Trebuchet MS"/>
        <family val="2"/>
      </rPr>
      <t>(1)</t>
    </r>
    <r>
      <rPr>
        <sz val="9"/>
        <rFont val="Trebuchet MS"/>
        <family val="2"/>
      </rPr>
      <t xml:space="preserve"> </t>
    </r>
    <r>
      <rPr>
        <sz val="8"/>
        <rFont val="Trebuchet MS"/>
        <family val="2"/>
      </rPr>
      <t>il dato include i Motorhomes</t>
    </r>
  </si>
  <si>
    <r>
      <rPr>
        <vertAlign val="superscript"/>
        <sz val="9"/>
        <rFont val="Trebuchet MS"/>
        <family val="2"/>
      </rPr>
      <t>(2)</t>
    </r>
    <r>
      <rPr>
        <sz val="9"/>
        <rFont val="Trebuchet MS"/>
        <family val="2"/>
      </rPr>
      <t xml:space="preserve"> </t>
    </r>
    <r>
      <rPr>
        <sz val="8"/>
        <rFont val="Trebuchet MS"/>
        <family val="2"/>
      </rPr>
      <t xml:space="preserve">Elaborazione ANFIA di maggio 2016, su dati del Ministero delle Infrastrutture e dei Trasporti </t>
    </r>
  </si>
  <si>
    <r>
      <t>TOTALE</t>
    </r>
    <r>
      <rPr>
        <b/>
        <vertAlign val="superscript"/>
        <sz val="9"/>
        <rFont val="Trebuchet MS"/>
        <family val="2"/>
      </rPr>
      <t>(3)</t>
    </r>
  </si>
  <si>
    <r>
      <rPr>
        <vertAlign val="superscript"/>
        <sz val="8"/>
        <rFont val="Trebuchet MS"/>
        <family val="2"/>
      </rPr>
      <t>(3)</t>
    </r>
    <r>
      <rPr>
        <sz val="8"/>
        <rFont val="Trebuchet MS"/>
        <family val="2"/>
      </rPr>
      <t xml:space="preserve"> Non include i dati di Islanda/</t>
    </r>
    <r>
      <rPr>
        <i/>
        <sz val="8"/>
        <rFont val="Trebuchet MS"/>
        <family val="2"/>
      </rPr>
      <t>Iceland's figures not included</t>
    </r>
  </si>
  <si>
    <t>DS</t>
  </si>
  <si>
    <t>JEEP</t>
  </si>
  <si>
    <r>
      <rPr>
        <vertAlign val="superscript"/>
        <sz val="9"/>
        <rFont val="Trebuchet MS"/>
        <family val="2"/>
      </rPr>
      <t>(2)</t>
    </r>
    <r>
      <rPr>
        <sz val="9"/>
        <rFont val="Trebuchet MS"/>
        <family val="2"/>
      </rPr>
      <t xml:space="preserve"> Elaborazione ANFIA di maggio 2016, su dati del Ministero delle Infrastrutture e dei Trasporti </t>
    </r>
  </si>
  <si>
    <t>INFINITI</t>
  </si>
  <si>
    <t>NISSAN</t>
  </si>
  <si>
    <r>
      <rPr>
        <vertAlign val="superscript"/>
        <sz val="9"/>
        <rFont val="Trebuchet MS"/>
        <family val="2"/>
      </rPr>
      <t>(1)</t>
    </r>
    <r>
      <rPr>
        <sz val="9"/>
        <rFont val="Trebuchet MS"/>
        <family val="2"/>
      </rPr>
      <t xml:space="preserve"> il dato include i Motorhomes</t>
    </r>
  </si>
  <si>
    <r>
      <rPr>
        <vertAlign val="superscript"/>
        <sz val="9"/>
        <rFont val="Trebuchet MS"/>
        <family val="2"/>
      </rPr>
      <t>(2)</t>
    </r>
    <r>
      <rPr>
        <sz val="9"/>
        <rFont val="Trebuchet MS"/>
        <family val="2"/>
      </rPr>
      <t xml:space="preserve"> Elaborazione ANFIA di maggio 2018, su dati del Ministero delle Infrastrutture e dei Trasporti </t>
    </r>
  </si>
  <si>
    <r>
      <rPr>
        <vertAlign val="superscript"/>
        <sz val="9"/>
        <rFont val="Trebuchet MS"/>
        <family val="2"/>
      </rPr>
      <t>(3)</t>
    </r>
    <r>
      <rPr>
        <sz val="9"/>
        <rFont val="Trebuchet MS"/>
        <family val="2"/>
      </rPr>
      <t xml:space="preserve"> Non include i dati di Islanda/</t>
    </r>
    <r>
      <rPr>
        <i/>
        <sz val="9"/>
        <rFont val="Trebuchet MS"/>
        <family val="2"/>
      </rPr>
      <t>Iceland's figures not included</t>
    </r>
  </si>
  <si>
    <t>UE15+EFTA2 - IMMATRICOLAZIONI AUTOVETTURE PER MARCA E GRUPPI NEL 2017</t>
  </si>
  <si>
    <t>EU15+EFTA2 - NEW CAR REGISTRATIONS BY MAKE AND GROUP IN 2017</t>
  </si>
  <si>
    <t>UE15+EFTA2 - IMMATRICOLAZIONI AUTOVETTURE PER MARCA E GRUPPI NEL 2016</t>
  </si>
  <si>
    <t>EU15+EFTA2 - NEW CAR REGISTRATIONS BY MAKE AND GROUP IN 2016</t>
  </si>
  <si>
    <t>UE15+EFTA2 - IMMATRICOLAZIONI AUTOVETTURE PER MARCA E GRUPPI NEL 2015</t>
  </si>
  <si>
    <t>EU15+EFTA2 - NEW CAR REGISTRATIONS BY MAKE AND GROUP IN 2015</t>
  </si>
  <si>
    <r>
      <rPr>
        <vertAlign val="superscript"/>
        <sz val="9"/>
        <rFont val="Trebuchet MS"/>
        <family val="2"/>
      </rPr>
      <t>(2)</t>
    </r>
    <r>
      <rPr>
        <sz val="9"/>
        <rFont val="Trebuchet MS"/>
        <family val="2"/>
      </rPr>
      <t xml:space="preserve"> </t>
    </r>
    <r>
      <rPr>
        <sz val="8"/>
        <rFont val="Trebuchet MS"/>
        <family val="2"/>
      </rPr>
      <t xml:space="preserve">Elaborazione ANFIA di maggio 2017, su dati del Ministero delle Infrastrutture e dei Trasporti </t>
    </r>
  </si>
  <si>
    <t>UE15+EFTA2 - IMMATRICOLAZIONI AUTOVETTURE PER MARCA E GRUPPI NEL 2014</t>
  </si>
  <si>
    <t>EU15+EFTA2 - NEW CAR REGISTRATIONS BY MAKE AND GROUP IN 2014</t>
  </si>
  <si>
    <t>UE15+EFTA2 - IMMATRICOLAZIONI AUTOVETTURE PER MARCA E GRUPPI NEL 2018</t>
  </si>
  <si>
    <t>EU15+EFTA2 - NEW CAR REGISTRATIONS BY MAKE AND GROUP IN 2018</t>
  </si>
  <si>
    <t>Dati da Tesla Motor Club - modelli S e X (https://teslamotorsclub.com/tmc/threads/tesla-europe-registration-stats.61651/)</t>
  </si>
  <si>
    <t>na</t>
  </si>
  <si>
    <t>UE15+EFTA2 - IMMATRICOLAZIONI AUTOVETTURE PER MARCA E GRUPPI NEL 2019</t>
  </si>
  <si>
    <t>EU15+EFTA2 - NEW CAR REGISTRATIONS BY MAKE AND GROUP IN 2019</t>
  </si>
  <si>
    <t>ALPINE</t>
  </si>
  <si>
    <t>-</t>
  </si>
  <si>
    <r>
      <rPr>
        <vertAlign val="superscript"/>
        <sz val="9"/>
        <rFont val="Trebuchet MS"/>
        <family val="2"/>
      </rPr>
      <t>(2)</t>
    </r>
    <r>
      <rPr>
        <sz val="9"/>
        <rFont val="Trebuchet MS"/>
        <family val="2"/>
      </rPr>
      <t xml:space="preserve"> Elaborazione ANFIA di marzo 2020, su dati del Ministero delle Infrastrutture e dei Trasporti </t>
    </r>
  </si>
  <si>
    <t>UE15+EFTA2 - IMMATRICOLAZIONI AUTOVETTURE PER MARCA E GRUPPI NEL 2020</t>
  </si>
  <si>
    <t>EU15+EFTA2 - NEW CAR REGISTRATIONS BY MAKE AND GROUP IN 2020</t>
  </si>
  <si>
    <r>
      <rPr>
        <vertAlign val="superscript"/>
        <sz val="9"/>
        <rFont val="Trebuchet MS"/>
        <family val="2"/>
      </rPr>
      <t>(2)</t>
    </r>
    <r>
      <rPr>
        <sz val="9"/>
        <rFont val="Trebuchet MS"/>
        <family val="2"/>
      </rPr>
      <t xml:space="preserve"> Elaborazione ANFIA di marzo 2021, su dati del Ministero delle Infrastrutture e dei Trasporti </t>
    </r>
  </si>
  <si>
    <t>UE14+EFTA+UK - IMMATRICOLAZIONI AUTOVETTURE PER MARCA E GRUPPI NEL 2021</t>
  </si>
  <si>
    <r>
      <rPr>
        <vertAlign val="superscript"/>
        <sz val="9"/>
        <rFont val="Trebuchet MS"/>
        <family val="2"/>
      </rPr>
      <t>(2)</t>
    </r>
    <r>
      <rPr>
        <sz val="9"/>
        <rFont val="Trebuchet MS"/>
        <family val="2"/>
      </rPr>
      <t xml:space="preserve"> Elaborazione ANFIA di marzo 2022, su dati del Ministero delle Infrastrutture e dei Trasporti </t>
    </r>
  </si>
  <si>
    <t>CUPRA</t>
  </si>
  <si>
    <t>Totale STELLANTIS  GROUP</t>
  </si>
  <si>
    <t>EU14+EFTA+UK - NEW CAR REGISTRATIONS BY MAKE AND GROUP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</si>
</sst>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[Red]\-#,##0\ "/>
    <numFmt numFmtId="167" formatCode="#,###,##0"/>
    <numFmt numFmtId="168" formatCode="_-* #,##0_-;\-* #,##0_-;_-* \-_-;_-@_-"/>
    <numFmt numFmtId="169" formatCode="[$-F400]h:mm:ss\ AM/PM"/>
  </numFmts>
  <fonts count="37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name val="Gill Sans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9"/>
      <color indexed="8"/>
      <name val="Trebuchet MS"/>
      <family val="2"/>
    </font>
    <font>
      <i/>
      <sz val="9"/>
      <color indexed="8"/>
      <name val="Trebuchet MS"/>
      <family val="2"/>
    </font>
    <font>
      <i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b/>
      <i/>
      <sz val="9"/>
      <name val="Trebuchet MS"/>
      <family val="2"/>
    </font>
    <font>
      <i/>
      <sz val="9"/>
      <name val="Trebuchet MS"/>
      <family val="2"/>
    </font>
    <font>
      <b/>
      <sz val="9"/>
      <color indexed="8"/>
      <name val="Trebuchet MS"/>
      <family val="2"/>
    </font>
    <font>
      <sz val="9"/>
      <color indexed="10"/>
      <name val="Trebuchet MS"/>
      <family val="2"/>
    </font>
    <font>
      <b/>
      <vertAlign val="superscript"/>
      <sz val="9"/>
      <name val="Trebuchet MS"/>
      <family val="2"/>
    </font>
    <font>
      <vertAlign val="superscript"/>
      <sz val="9"/>
      <name val="Trebuchet MS"/>
      <family val="2"/>
    </font>
    <font>
      <sz val="8"/>
      <name val="Trebuchet MS"/>
      <family val="2"/>
    </font>
    <font>
      <i/>
      <sz val="8"/>
      <name val="Trebuchet MS"/>
      <family val="2"/>
    </font>
    <font>
      <vertAlign val="superscript"/>
      <sz val="8"/>
      <name val="Trebuchet MS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9"/>
      </patternFill>
    </fill>
    <fill>
      <patternFill patternType="lightGray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0" tint="-0.14996795556505021"/>
      </top>
      <bottom/>
      <diagonal/>
    </border>
  </borders>
  <cellStyleXfs count="5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168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2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9" fillId="0" borderId="0"/>
    <xf numFmtId="0" fontId="1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167" fontId="17" fillId="24" borderId="0" applyNumberFormat="0" applyBorder="0">
      <protection locked="0"/>
    </xf>
    <xf numFmtId="167" fontId="18" fillId="25" borderId="0" applyNumberFormat="0" applyBorder="0">
      <protection locked="0"/>
    </xf>
    <xf numFmtId="0" fontId="19" fillId="0" borderId="9" applyNumberFormat="0" applyFill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</cellStyleXfs>
  <cellXfs count="102">
    <xf numFmtId="0" fontId="0" fillId="0" borderId="0" xfId="0"/>
    <xf numFmtId="0" fontId="22" fillId="0" borderId="0" xfId="37" applyFont="1"/>
    <xf numFmtId="0" fontId="23" fillId="0" borderId="0" xfId="0" applyFont="1"/>
    <xf numFmtId="0" fontId="23" fillId="26" borderId="0" xfId="0" applyFont="1" applyFill="1"/>
    <xf numFmtId="0" fontId="24" fillId="0" borderId="0" xfId="0" applyFont="1"/>
    <xf numFmtId="0" fontId="25" fillId="0" borderId="0" xfId="37" applyFont="1"/>
    <xf numFmtId="0" fontId="26" fillId="0" borderId="0" xfId="37" applyFont="1"/>
    <xf numFmtId="0" fontId="26" fillId="26" borderId="0" xfId="37" applyFont="1" applyFill="1" applyAlignment="1">
      <alignment horizontal="right"/>
    </xf>
    <xf numFmtId="0" fontId="23" fillId="26" borderId="0" xfId="37" applyFont="1" applyFill="1"/>
    <xf numFmtId="0" fontId="27" fillId="0" borderId="0" xfId="37" applyFont="1"/>
    <xf numFmtId="0" fontId="28" fillId="0" borderId="0" xfId="37" applyFont="1"/>
    <xf numFmtId="0" fontId="26" fillId="0" borderId="0" xfId="37" applyFont="1" applyAlignment="1">
      <alignment horizontal="center" vertical="center"/>
    </xf>
    <xf numFmtId="49" fontId="26" fillId="0" borderId="10" xfId="37" applyNumberFormat="1" applyFont="1" applyBorder="1"/>
    <xf numFmtId="165" fontId="29" fillId="0" borderId="10" xfId="37" applyNumberFormat="1" applyFont="1" applyBorder="1" applyAlignment="1">
      <alignment horizontal="right"/>
    </xf>
    <xf numFmtId="49" fontId="26" fillId="0" borderId="11" xfId="37" applyNumberFormat="1" applyFont="1" applyBorder="1"/>
    <xf numFmtId="165" fontId="29" fillId="0" borderId="11" xfId="37" applyNumberFormat="1" applyFont="1" applyBorder="1" applyAlignment="1">
      <alignment horizontal="right"/>
    </xf>
    <xf numFmtId="49" fontId="27" fillId="27" borderId="11" xfId="37" applyNumberFormat="1" applyFont="1" applyFill="1" applyBorder="1"/>
    <xf numFmtId="166" fontId="27" fillId="27" borderId="11" xfId="37" applyNumberFormat="1" applyFont="1" applyFill="1" applyBorder="1" applyAlignment="1">
      <alignment horizontal="right"/>
    </xf>
    <xf numFmtId="165" fontId="28" fillId="27" borderId="11" xfId="37" applyNumberFormat="1" applyFont="1" applyFill="1" applyBorder="1" applyAlignment="1">
      <alignment horizontal="right"/>
    </xf>
    <xf numFmtId="166" fontId="30" fillId="27" borderId="11" xfId="37" applyNumberFormat="1" applyFont="1" applyFill="1" applyBorder="1" applyAlignment="1">
      <alignment horizontal="right"/>
    </xf>
    <xf numFmtId="49" fontId="26" fillId="26" borderId="11" xfId="37" applyNumberFormat="1" applyFont="1" applyFill="1" applyBorder="1"/>
    <xf numFmtId="0" fontId="27" fillId="26" borderId="0" xfId="37" applyFont="1" applyFill="1"/>
    <xf numFmtId="165" fontId="29" fillId="26" borderId="11" xfId="37" applyNumberFormat="1" applyFont="1" applyFill="1" applyBorder="1" applyAlignment="1">
      <alignment horizontal="right"/>
    </xf>
    <xf numFmtId="0" fontId="31" fillId="0" borderId="0" xfId="37" applyFont="1"/>
    <xf numFmtId="49" fontId="26" fillId="0" borderId="11" xfId="37" applyNumberFormat="1" applyFont="1" applyBorder="1" applyAlignment="1">
      <alignment horizontal="left"/>
    </xf>
    <xf numFmtId="165" fontId="28" fillId="27" borderId="12" xfId="37" applyNumberFormat="1" applyFont="1" applyFill="1" applyBorder="1" applyAlignment="1">
      <alignment horizontal="right"/>
    </xf>
    <xf numFmtId="3" fontId="23" fillId="0" borderId="0" xfId="0" applyNumberFormat="1" applyFont="1"/>
    <xf numFmtId="0" fontId="26" fillId="29" borderId="0" xfId="37" applyFont="1" applyFill="1"/>
    <xf numFmtId="166" fontId="26" fillId="29" borderId="10" xfId="37" applyNumberFormat="1" applyFont="1" applyFill="1" applyBorder="1" applyAlignment="1">
      <alignment horizontal="right"/>
    </xf>
    <xf numFmtId="166" fontId="23" fillId="29" borderId="10" xfId="37" applyNumberFormat="1" applyFont="1" applyFill="1" applyBorder="1" applyAlignment="1">
      <alignment horizontal="right"/>
    </xf>
    <xf numFmtId="166" fontId="26" fillId="29" borderId="11" xfId="37" applyNumberFormat="1" applyFont="1" applyFill="1" applyBorder="1" applyAlignment="1">
      <alignment horizontal="right"/>
    </xf>
    <xf numFmtId="166" fontId="23" fillId="29" borderId="11" xfId="37" applyNumberFormat="1" applyFont="1" applyFill="1" applyBorder="1" applyAlignment="1">
      <alignment horizontal="right"/>
    </xf>
    <xf numFmtId="166" fontId="26" fillId="29" borderId="11" xfId="37" applyNumberFormat="1" applyFont="1" applyFill="1" applyBorder="1" applyAlignment="1">
      <alignment horizontal="right" vertical="top" wrapText="1"/>
    </xf>
    <xf numFmtId="166" fontId="26" fillId="29" borderId="13" xfId="37" applyNumberFormat="1" applyFont="1" applyFill="1" applyBorder="1" applyAlignment="1">
      <alignment horizontal="right"/>
    </xf>
    <xf numFmtId="166" fontId="26" fillId="29" borderId="14" xfId="37" applyNumberFormat="1" applyFont="1" applyFill="1" applyBorder="1" applyAlignment="1">
      <alignment horizontal="right"/>
    </xf>
    <xf numFmtId="166" fontId="26" fillId="29" borderId="15" xfId="37" applyNumberFormat="1" applyFont="1" applyFill="1" applyBorder="1" applyAlignment="1">
      <alignment horizontal="right"/>
    </xf>
    <xf numFmtId="166" fontId="26" fillId="29" borderId="11" xfId="37" applyNumberFormat="1" applyFont="1" applyFill="1" applyBorder="1"/>
    <xf numFmtId="166" fontId="23" fillId="29" borderId="11" xfId="37" applyNumberFormat="1" applyFont="1" applyFill="1" applyBorder="1"/>
    <xf numFmtId="0" fontId="23" fillId="29" borderId="0" xfId="0" applyFont="1" applyFill="1"/>
    <xf numFmtId="49" fontId="26" fillId="29" borderId="11" xfId="37" applyNumberFormat="1" applyFont="1" applyFill="1" applyBorder="1"/>
    <xf numFmtId="165" fontId="29" fillId="29" borderId="11" xfId="37" applyNumberFormat="1" applyFont="1" applyFill="1" applyBorder="1" applyAlignment="1">
      <alignment horizontal="right"/>
    </xf>
    <xf numFmtId="166" fontId="26" fillId="0" borderId="0" xfId="37" applyNumberFormat="1" applyFont="1"/>
    <xf numFmtId="166" fontId="26" fillId="30" borderId="11" xfId="37" applyNumberFormat="1" applyFont="1" applyFill="1" applyBorder="1" applyAlignment="1">
      <alignment horizontal="right"/>
    </xf>
    <xf numFmtId="166" fontId="27" fillId="30" borderId="10" xfId="37" applyNumberFormat="1" applyFont="1" applyFill="1" applyBorder="1" applyAlignment="1">
      <alignment horizontal="right"/>
    </xf>
    <xf numFmtId="166" fontId="27" fillId="30" borderId="11" xfId="37" applyNumberFormat="1" applyFont="1" applyFill="1" applyBorder="1" applyAlignment="1">
      <alignment horizontal="right"/>
    </xf>
    <xf numFmtId="166" fontId="27" fillId="30" borderId="12" xfId="37" applyNumberFormat="1" applyFont="1" applyFill="1" applyBorder="1" applyAlignment="1">
      <alignment horizontal="right"/>
    </xf>
    <xf numFmtId="49" fontId="27" fillId="30" borderId="12" xfId="37" applyNumberFormat="1" applyFont="1" applyFill="1" applyBorder="1"/>
    <xf numFmtId="166" fontId="27" fillId="0" borderId="0" xfId="37" applyNumberFormat="1" applyFont="1"/>
    <xf numFmtId="166" fontId="23" fillId="0" borderId="0" xfId="0" applyNumberFormat="1" applyFont="1"/>
    <xf numFmtId="43" fontId="29" fillId="0" borderId="10" xfId="29" applyFont="1" applyFill="1" applyBorder="1" applyAlignment="1">
      <alignment horizontal="right"/>
    </xf>
    <xf numFmtId="43" fontId="29" fillId="0" borderId="11" xfId="29" applyFont="1" applyFill="1" applyBorder="1" applyAlignment="1">
      <alignment horizontal="right"/>
    </xf>
    <xf numFmtId="43" fontId="28" fillId="27" borderId="11" xfId="29" applyFont="1" applyFill="1" applyBorder="1" applyAlignment="1">
      <alignment horizontal="right"/>
    </xf>
    <xf numFmtId="43" fontId="29" fillId="29" borderId="11" xfId="29" applyFont="1" applyFill="1" applyBorder="1" applyAlignment="1">
      <alignment horizontal="right"/>
    </xf>
    <xf numFmtId="43" fontId="28" fillId="27" borderId="12" xfId="29" applyFont="1" applyFill="1" applyBorder="1" applyAlignment="1">
      <alignment horizontal="right"/>
    </xf>
    <xf numFmtId="164" fontId="26" fillId="29" borderId="10" xfId="29" applyNumberFormat="1" applyFont="1" applyFill="1" applyBorder="1" applyAlignment="1">
      <alignment horizontal="right"/>
    </xf>
    <xf numFmtId="164" fontId="23" fillId="29" borderId="10" xfId="29" applyNumberFormat="1" applyFont="1" applyFill="1" applyBorder="1" applyAlignment="1">
      <alignment horizontal="right"/>
    </xf>
    <xf numFmtId="164" fontId="27" fillId="30" borderId="10" xfId="29" applyNumberFormat="1" applyFont="1" applyFill="1" applyBorder="1" applyAlignment="1">
      <alignment horizontal="right"/>
    </xf>
    <xf numFmtId="164" fontId="26" fillId="29" borderId="11" xfId="29" applyNumberFormat="1" applyFont="1" applyFill="1" applyBorder="1" applyAlignment="1">
      <alignment horizontal="right"/>
    </xf>
    <xf numFmtId="164" fontId="23" fillId="29" borderId="11" xfId="29" applyNumberFormat="1" applyFont="1" applyFill="1" applyBorder="1" applyAlignment="1">
      <alignment horizontal="right"/>
    </xf>
    <xf numFmtId="164" fontId="26" fillId="29" borderId="11" xfId="29" applyNumberFormat="1" applyFont="1" applyFill="1" applyBorder="1" applyAlignment="1">
      <alignment horizontal="right" vertical="top" wrapText="1"/>
    </xf>
    <xf numFmtId="164" fontId="27" fillId="30" borderId="11" xfId="29" applyNumberFormat="1" applyFont="1" applyFill="1" applyBorder="1" applyAlignment="1">
      <alignment horizontal="right"/>
    </xf>
    <xf numFmtId="164" fontId="23" fillId="0" borderId="0" xfId="29" applyNumberFormat="1" applyFont="1"/>
    <xf numFmtId="164" fontId="27" fillId="27" borderId="11" xfId="29" applyNumberFormat="1" applyFont="1" applyFill="1" applyBorder="1" applyAlignment="1">
      <alignment horizontal="right"/>
    </xf>
    <xf numFmtId="164" fontId="30" fillId="27" borderId="11" xfId="29" applyNumberFormat="1" applyFont="1" applyFill="1" applyBorder="1" applyAlignment="1">
      <alignment horizontal="right"/>
    </xf>
    <xf numFmtId="164" fontId="26" fillId="30" borderId="11" xfId="29" applyNumberFormat="1" applyFont="1" applyFill="1" applyBorder="1" applyAlignment="1">
      <alignment horizontal="right"/>
    </xf>
    <xf numFmtId="164" fontId="26" fillId="29" borderId="13" xfId="29" applyNumberFormat="1" applyFont="1" applyFill="1" applyBorder="1" applyAlignment="1">
      <alignment horizontal="right"/>
    </xf>
    <xf numFmtId="164" fontId="26" fillId="29" borderId="14" xfId="29" applyNumberFormat="1" applyFont="1" applyFill="1" applyBorder="1" applyAlignment="1">
      <alignment horizontal="right"/>
    </xf>
    <xf numFmtId="164" fontId="26" fillId="29" borderId="15" xfId="29" applyNumberFormat="1" applyFont="1" applyFill="1" applyBorder="1" applyAlignment="1">
      <alignment horizontal="right"/>
    </xf>
    <xf numFmtId="164" fontId="26" fillId="29" borderId="11" xfId="29" applyNumberFormat="1" applyFont="1" applyFill="1" applyBorder="1"/>
    <xf numFmtId="164" fontId="23" fillId="29" borderId="11" xfId="29" applyNumberFormat="1" applyFont="1" applyFill="1" applyBorder="1"/>
    <xf numFmtId="164" fontId="27" fillId="30" borderId="12" xfId="29" applyNumberFormat="1" applyFont="1" applyFill="1" applyBorder="1" applyAlignment="1">
      <alignment horizontal="right"/>
    </xf>
    <xf numFmtId="43" fontId="24" fillId="0" borderId="0" xfId="29" applyFont="1"/>
    <xf numFmtId="43" fontId="28" fillId="0" borderId="0" xfId="29" applyFont="1" applyFill="1"/>
    <xf numFmtId="43" fontId="29" fillId="0" borderId="0" xfId="29" applyFont="1" applyFill="1" applyBorder="1" applyAlignment="1">
      <alignment horizontal="right"/>
    </xf>
    <xf numFmtId="164" fontId="23" fillId="0" borderId="0" xfId="0" applyNumberFormat="1" applyFont="1"/>
    <xf numFmtId="164" fontId="26" fillId="29" borderId="13" xfId="29" applyNumberFormat="1" applyFont="1" applyFill="1" applyBorder="1"/>
    <xf numFmtId="49" fontId="26" fillId="29" borderId="0" xfId="37" quotePrefix="1" applyNumberFormat="1" applyFont="1" applyFill="1"/>
    <xf numFmtId="164" fontId="26" fillId="29" borderId="0" xfId="29" applyNumberFormat="1" applyFont="1" applyFill="1" applyBorder="1" applyAlignment="1">
      <alignment horizontal="right"/>
    </xf>
    <xf numFmtId="43" fontId="29" fillId="29" borderId="0" xfId="29" applyFont="1" applyFill="1" applyBorder="1" applyAlignment="1">
      <alignment horizontal="right"/>
    </xf>
    <xf numFmtId="49" fontId="34" fillId="29" borderId="0" xfId="37" quotePrefix="1" applyNumberFormat="1" applyFont="1" applyFill="1"/>
    <xf numFmtId="0" fontId="30" fillId="28" borderId="16" xfId="0" applyFont="1" applyFill="1" applyBorder="1"/>
    <xf numFmtId="0" fontId="30" fillId="28" borderId="16" xfId="0" applyFont="1" applyFill="1" applyBorder="1" applyAlignment="1">
      <alignment horizontal="center"/>
    </xf>
    <xf numFmtId="3" fontId="23" fillId="26" borderId="0" xfId="0" applyNumberFormat="1" applyFont="1" applyFill="1"/>
    <xf numFmtId="49" fontId="26" fillId="0" borderId="17" xfId="37" applyNumberFormat="1" applyFont="1" applyBorder="1"/>
    <xf numFmtId="164" fontId="26" fillId="29" borderId="17" xfId="29" applyNumberFormat="1" applyFont="1" applyFill="1" applyBorder="1" applyAlignment="1">
      <alignment horizontal="right"/>
    </xf>
    <xf numFmtId="164" fontId="23" fillId="29" borderId="17" xfId="29" applyNumberFormat="1" applyFont="1" applyFill="1" applyBorder="1" applyAlignment="1">
      <alignment horizontal="right"/>
    </xf>
    <xf numFmtId="164" fontId="27" fillId="30" borderId="17" xfId="29" applyNumberFormat="1" applyFont="1" applyFill="1" applyBorder="1" applyAlignment="1">
      <alignment horizontal="right"/>
    </xf>
    <xf numFmtId="164" fontId="27" fillId="27" borderId="16" xfId="29" applyNumberFormat="1" applyFont="1" applyFill="1" applyBorder="1" applyAlignment="1">
      <alignment horizontal="right"/>
    </xf>
    <xf numFmtId="164" fontId="27" fillId="31" borderId="16" xfId="29" applyNumberFormat="1" applyFont="1" applyFill="1" applyBorder="1" applyAlignment="1">
      <alignment horizontal="right"/>
    </xf>
    <xf numFmtId="43" fontId="29" fillId="0" borderId="17" xfId="29" applyFont="1" applyFill="1" applyBorder="1" applyAlignment="1">
      <alignment horizontal="right"/>
    </xf>
    <xf numFmtId="49" fontId="27" fillId="30" borderId="16" xfId="37" applyNumberFormat="1" applyFont="1" applyFill="1" applyBorder="1"/>
    <xf numFmtId="164" fontId="27" fillId="30" borderId="16" xfId="29" applyNumberFormat="1" applyFont="1" applyFill="1" applyBorder="1" applyAlignment="1">
      <alignment horizontal="right"/>
    </xf>
    <xf numFmtId="43" fontId="28" fillId="27" borderId="16" xfId="29" applyFont="1" applyFill="1" applyBorder="1" applyAlignment="1">
      <alignment horizontal="right"/>
    </xf>
    <xf numFmtId="164" fontId="23" fillId="26" borderId="0" xfId="0" applyNumberFormat="1" applyFont="1" applyFill="1"/>
    <xf numFmtId="164" fontId="26" fillId="0" borderId="11" xfId="29" applyNumberFormat="1" applyFont="1" applyFill="1" applyBorder="1" applyAlignment="1">
      <alignment horizontal="right"/>
    </xf>
    <xf numFmtId="164" fontId="26" fillId="0" borderId="17" xfId="29" applyNumberFormat="1" applyFont="1" applyFill="1" applyBorder="1" applyAlignment="1">
      <alignment horizontal="right"/>
    </xf>
    <xf numFmtId="164" fontId="26" fillId="0" borderId="10" xfId="29" applyNumberFormat="1" applyFont="1" applyFill="1" applyBorder="1" applyAlignment="1">
      <alignment horizontal="right"/>
    </xf>
    <xf numFmtId="164" fontId="23" fillId="0" borderId="0" xfId="29" applyNumberFormat="1" applyFont="1" applyFill="1"/>
    <xf numFmtId="164" fontId="26" fillId="29" borderId="18" xfId="29" applyNumberFormat="1" applyFont="1" applyFill="1" applyBorder="1" applyAlignment="1">
      <alignment horizontal="right"/>
    </xf>
    <xf numFmtId="169" fontId="0" fillId="0" borderId="19" xfId="0" applyNumberFormat="1" applyBorder="1"/>
    <xf numFmtId="164" fontId="0" fillId="0" borderId="0" xfId="0" applyNumberFormat="1"/>
    <xf numFmtId="164" fontId="26" fillId="0" borderId="0" xfId="37" applyNumberFormat="1" applyFont="1"/>
  </cellXfs>
  <cellStyles count="5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rmale_immatricolazioni per marca 2009 europa" xfId="37" xr:uid="{00000000-0005-0000-0000-000025000000}"/>
    <cellStyle name="Nota" xfId="38" builtinId="10" customBuiltin="1"/>
    <cellStyle name="Output" xfId="39" builtinId="21" customBuiltin="1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 intermediaire" xfId="47" xr:uid="{00000000-0005-0000-0000-00002F000000}"/>
    <cellStyle name="Total tableau" xfId="48" xr:uid="{00000000-0005-0000-0000-000030000000}"/>
    <cellStyle name="Totale" xfId="49" builtinId="25" customBuiltin="1"/>
    <cellStyle name="Valore non valido" xfId="50" builtinId="27" customBuiltin="1"/>
    <cellStyle name="Valore valido" xfId="5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139699</xdr:colOff>
      <xdr:row>0</xdr:row>
      <xdr:rowOff>19050</xdr:rowOff>
    </xdr:from>
    <xdr:to>
      <xdr:col>0</xdr:col>
      <xdr:colOff>962024</xdr:colOff>
      <xdr:row>2</xdr:row>
      <xdr:rowOff>144458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2454E89-8BA4-4C05-8477-887F32741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699" y="19050"/>
          <a:ext cx="822325" cy="5445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139699</xdr:colOff>
      <xdr:row>0</xdr:row>
      <xdr:rowOff>19050</xdr:rowOff>
    </xdr:from>
    <xdr:to>
      <xdr:col>0</xdr:col>
      <xdr:colOff>962024</xdr:colOff>
      <xdr:row>2</xdr:row>
      <xdr:rowOff>144458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8BFA8D2-920B-4792-BD1D-9D6AAE4CF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699" y="19050"/>
          <a:ext cx="822325" cy="5445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0</xdr:row>
      <xdr:rowOff>19050</xdr:rowOff>
    </xdr:from>
    <xdr:to>
      <xdr:col>0</xdr:col>
      <xdr:colOff>895350</xdr:colOff>
      <xdr:row>2</xdr:row>
      <xdr:rowOff>39683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36F80A0-4C34-466B-B4E2-25FD9718E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" y="19050"/>
          <a:ext cx="755650" cy="4930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0</xdr:row>
      <xdr:rowOff>19050</xdr:rowOff>
    </xdr:from>
    <xdr:to>
      <xdr:col>0</xdr:col>
      <xdr:colOff>895350</xdr:colOff>
      <xdr:row>2</xdr:row>
      <xdr:rowOff>39683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783E4AB3-2EF4-48FD-8219-2E1E824A9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" y="19050"/>
          <a:ext cx="755650" cy="48418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76200</xdr:rowOff>
    </xdr:from>
    <xdr:to>
      <xdr:col>0</xdr:col>
      <xdr:colOff>850900</xdr:colOff>
      <xdr:row>2</xdr:row>
      <xdr:rowOff>122233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999D99C-1779-4D86-9B3C-7398C32BB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76200"/>
          <a:ext cx="755650" cy="48418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69850</xdr:colOff>
      <xdr:row>0</xdr:row>
      <xdr:rowOff>63500</xdr:rowOff>
    </xdr:from>
    <xdr:to>
      <xdr:col>0</xdr:col>
      <xdr:colOff>825500</xdr:colOff>
      <xdr:row>2</xdr:row>
      <xdr:rowOff>90483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C90A2AB-B6BD-4471-8263-416FFCB5D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" y="63500"/>
          <a:ext cx="755650" cy="48418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38100</xdr:rowOff>
    </xdr:from>
    <xdr:to>
      <xdr:col>0</xdr:col>
      <xdr:colOff>781050</xdr:colOff>
      <xdr:row>2</xdr:row>
      <xdr:rowOff>77783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B9D76B9-F314-4BFB-A720-5E519186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38100"/>
          <a:ext cx="755650" cy="48418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38100</xdr:rowOff>
    </xdr:from>
    <xdr:to>
      <xdr:col>0</xdr:col>
      <xdr:colOff>819150</xdr:colOff>
      <xdr:row>2</xdr:row>
      <xdr:rowOff>77783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09B3762-507D-4B40-AC00-A0200872B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38100"/>
          <a:ext cx="755650" cy="484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  <sheetName val="4.Veicoli industria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92736-BCCC-40DC-A76D-0E827AA6B9F4}">
  <dimension ref="A1:W68"/>
  <sheetViews>
    <sheetView tabSelected="1" zoomScale="90" zoomScaleNormal="90" zoomScalePageLayoutView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ColWidth="18" defaultRowHeight="15"/>
  <cols>
    <col min="1" max="1" width="23.42578125" customWidth="1"/>
    <col min="2" max="20" width="12.140625" customWidth="1"/>
    <col min="22" max="22" width="15.28515625" bestFit="1" customWidth="1"/>
    <col min="23" max="23" width="8.42578125" bestFit="1" customWidth="1"/>
  </cols>
  <sheetData>
    <row r="1" spans="1:20" ht="16.5">
      <c r="A1" s="2"/>
      <c r="B1" s="1" t="s">
        <v>116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71"/>
    </row>
    <row r="2" spans="1:20" ht="16.5">
      <c r="A2" s="2"/>
      <c r="B2" s="5" t="s">
        <v>120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47"/>
      <c r="T2" s="72"/>
    </row>
    <row r="3" spans="1:20" ht="16.5">
      <c r="A3" s="6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9"/>
      <c r="T3" s="72"/>
    </row>
    <row r="4" spans="1:20" ht="17.25">
      <c r="A4" s="80" t="s">
        <v>0</v>
      </c>
      <c r="B4" s="81" t="s">
        <v>1</v>
      </c>
      <c r="C4" s="81" t="s">
        <v>2</v>
      </c>
      <c r="D4" s="81" t="s">
        <v>82</v>
      </c>
      <c r="E4" s="81" t="s">
        <v>79</v>
      </c>
      <c r="F4" s="81" t="s">
        <v>3</v>
      </c>
      <c r="G4" s="81" t="s">
        <v>80</v>
      </c>
      <c r="H4" s="81" t="s">
        <v>4</v>
      </c>
      <c r="I4" s="81" t="s">
        <v>5</v>
      </c>
      <c r="J4" s="81" t="s">
        <v>81</v>
      </c>
      <c r="K4" s="81" t="s">
        <v>6</v>
      </c>
      <c r="L4" s="81" t="s">
        <v>7</v>
      </c>
      <c r="M4" s="81" t="s">
        <v>8</v>
      </c>
      <c r="N4" s="81" t="s">
        <v>9</v>
      </c>
      <c r="O4" s="81" t="s">
        <v>10</v>
      </c>
      <c r="P4" s="81" t="s">
        <v>11</v>
      </c>
      <c r="Q4" s="81" t="s">
        <v>12</v>
      </c>
      <c r="R4" s="81" t="s">
        <v>13</v>
      </c>
      <c r="S4" s="81" t="s">
        <v>85</v>
      </c>
      <c r="T4" s="81" t="s">
        <v>15</v>
      </c>
    </row>
    <row r="5" spans="1:20" ht="16.5">
      <c r="A5" s="12" t="s">
        <v>16</v>
      </c>
      <c r="B5" s="54">
        <f>12380+44</f>
        <v>12424</v>
      </c>
      <c r="C5" s="54">
        <v>28016</v>
      </c>
      <c r="D5" s="54">
        <v>10586</v>
      </c>
      <c r="E5" s="54">
        <v>3779</v>
      </c>
      <c r="F5" s="54">
        <v>50083</v>
      </c>
      <c r="G5" s="54">
        <f>179991+1886</f>
        <v>181877</v>
      </c>
      <c r="H5" s="54">
        <v>3545</v>
      </c>
      <c r="I5" s="54">
        <v>4245</v>
      </c>
      <c r="J5" s="54">
        <v>55725</v>
      </c>
      <c r="K5" s="54">
        <v>3642</v>
      </c>
      <c r="L5" s="54">
        <v>12557</v>
      </c>
      <c r="M5" s="55">
        <v>3463</v>
      </c>
      <c r="N5" s="54">
        <v>117953</v>
      </c>
      <c r="O5" s="54">
        <v>34732</v>
      </c>
      <c r="P5" s="54">
        <v>15064</v>
      </c>
      <c r="Q5" s="54">
        <v>10355</v>
      </c>
      <c r="R5" s="54">
        <v>17034</v>
      </c>
      <c r="S5" s="56">
        <f>SUM(B5:R5)</f>
        <v>565080</v>
      </c>
      <c r="T5" s="49">
        <f t="shared" ref="T5:T36" si="0">S5/S$65*100</f>
        <v>5.3369701445878031</v>
      </c>
    </row>
    <row r="6" spans="1:20" ht="16.5">
      <c r="A6" s="14" t="s">
        <v>77</v>
      </c>
      <c r="B6" s="57">
        <v>22</v>
      </c>
      <c r="C6" s="57">
        <v>109</v>
      </c>
      <c r="D6" s="57">
        <v>2</v>
      </c>
      <c r="E6" s="57">
        <v>14</v>
      </c>
      <c r="F6" s="57">
        <v>86</v>
      </c>
      <c r="G6" s="57">
        <v>727</v>
      </c>
      <c r="H6" s="57">
        <v>1</v>
      </c>
      <c r="I6" s="57">
        <v>3</v>
      </c>
      <c r="J6" s="57">
        <v>45</v>
      </c>
      <c r="K6" s="57">
        <v>33</v>
      </c>
      <c r="L6" s="57">
        <v>93</v>
      </c>
      <c r="M6" s="58">
        <v>26</v>
      </c>
      <c r="N6" s="57">
        <v>1348</v>
      </c>
      <c r="O6" s="57">
        <v>60</v>
      </c>
      <c r="P6" s="57">
        <v>26</v>
      </c>
      <c r="Q6" s="57"/>
      <c r="R6" s="57"/>
      <c r="S6" s="60">
        <f t="shared" ref="S6:S12" si="1">SUM(B6:R6)</f>
        <v>2595</v>
      </c>
      <c r="T6" s="50">
        <f t="shared" si="0"/>
        <v>2.4508808531898758E-2</v>
      </c>
    </row>
    <row r="7" spans="1:20" ht="16.5">
      <c r="A7" s="14" t="s">
        <v>118</v>
      </c>
      <c r="B7" s="57">
        <v>1983</v>
      </c>
      <c r="C7" s="57">
        <v>651</v>
      </c>
      <c r="D7" s="57"/>
      <c r="E7" s="57">
        <v>321</v>
      </c>
      <c r="F7" s="57">
        <v>3991</v>
      </c>
      <c r="G7" s="57">
        <v>0</v>
      </c>
      <c r="H7" s="57">
        <v>118</v>
      </c>
      <c r="I7" s="57">
        <v>184</v>
      </c>
      <c r="J7" s="57">
        <v>6326</v>
      </c>
      <c r="K7" s="57">
        <v>330</v>
      </c>
      <c r="L7" s="57">
        <v>1372</v>
      </c>
      <c r="M7" s="58">
        <v>557</v>
      </c>
      <c r="N7" s="57">
        <v>7584</v>
      </c>
      <c r="O7" s="57">
        <v>11090</v>
      </c>
      <c r="P7" s="57"/>
      <c r="Q7" s="57"/>
      <c r="R7" s="57"/>
      <c r="S7" s="60">
        <f t="shared" ref="S7" si="2">SUM(B7:R7)</f>
        <v>34507</v>
      </c>
      <c r="T7" s="50">
        <f t="shared" si="0"/>
        <v>0.32590576339507915</v>
      </c>
    </row>
    <row r="8" spans="1:20" ht="16.5">
      <c r="A8" s="14" t="s">
        <v>18</v>
      </c>
      <c r="B8" s="57">
        <v>49</v>
      </c>
      <c r="C8" s="57">
        <v>56</v>
      </c>
      <c r="D8" s="57">
        <v>2</v>
      </c>
      <c r="E8" s="57">
        <v>3</v>
      </c>
      <c r="F8" s="57">
        <v>121</v>
      </c>
      <c r="G8" s="57">
        <v>777</v>
      </c>
      <c r="H8" s="57">
        <v>5</v>
      </c>
      <c r="I8" s="57">
        <v>0</v>
      </c>
      <c r="J8" s="57">
        <v>299</v>
      </c>
      <c r="K8" s="57">
        <v>63</v>
      </c>
      <c r="L8" s="57">
        <v>40</v>
      </c>
      <c r="M8" s="58">
        <v>13</v>
      </c>
      <c r="N8" s="57">
        <v>0</v>
      </c>
      <c r="O8" s="57">
        <v>26</v>
      </c>
      <c r="P8" s="57">
        <v>35</v>
      </c>
      <c r="Q8" s="57"/>
      <c r="R8" s="57"/>
      <c r="S8" s="60">
        <f t="shared" si="1"/>
        <v>1489</v>
      </c>
      <c r="T8" s="50">
        <f t="shared" si="0"/>
        <v>1.4063050444700289E-2</v>
      </c>
    </row>
    <row r="9" spans="1:20" ht="16.5">
      <c r="A9" s="14" t="s">
        <v>69</v>
      </c>
      <c r="B9" s="57">
        <v>1321</v>
      </c>
      <c r="C9" s="57">
        <v>3012</v>
      </c>
      <c r="D9" s="57">
        <v>507</v>
      </c>
      <c r="E9" s="57">
        <v>333</v>
      </c>
      <c r="F9" s="57">
        <v>4487</v>
      </c>
      <c r="G9" s="57">
        <v>28925</v>
      </c>
      <c r="H9" s="57">
        <v>107</v>
      </c>
      <c r="I9" s="57">
        <v>178</v>
      </c>
      <c r="J9" s="57">
        <v>6263</v>
      </c>
      <c r="K9" s="57">
        <v>933</v>
      </c>
      <c r="L9" s="57">
        <v>1931</v>
      </c>
      <c r="M9" s="58">
        <v>765</v>
      </c>
      <c r="N9" s="57">
        <v>13702</v>
      </c>
      <c r="O9" s="57">
        <v>2423</v>
      </c>
      <c r="P9" s="57">
        <v>2391</v>
      </c>
      <c r="Q9" s="57"/>
      <c r="R9" s="57">
        <v>4092</v>
      </c>
      <c r="S9" s="60">
        <f t="shared" si="1"/>
        <v>71370</v>
      </c>
      <c r="T9" s="50">
        <f t="shared" si="0"/>
        <v>0.67406306933395543</v>
      </c>
    </row>
    <row r="10" spans="1:20" ht="16.5">
      <c r="A10" s="14" t="s">
        <v>19</v>
      </c>
      <c r="B10" s="57">
        <v>15138</v>
      </c>
      <c r="C10" s="57">
        <v>7429</v>
      </c>
      <c r="D10" s="57">
        <v>4987</v>
      </c>
      <c r="E10" s="57">
        <v>1874</v>
      </c>
      <c r="F10" s="57">
        <v>26702</v>
      </c>
      <c r="G10" s="57">
        <v>108726</v>
      </c>
      <c r="H10" s="57">
        <v>1858</v>
      </c>
      <c r="I10" s="57">
        <v>4010</v>
      </c>
      <c r="J10" s="57">
        <v>21260</v>
      </c>
      <c r="K10" s="57">
        <v>1027</v>
      </c>
      <c r="L10" s="57">
        <v>7361</v>
      </c>
      <c r="M10" s="58">
        <v>6320</v>
      </c>
      <c r="N10" s="57">
        <v>43130</v>
      </c>
      <c r="O10" s="57">
        <v>70523</v>
      </c>
      <c r="P10" s="57">
        <v>8360</v>
      </c>
      <c r="Q10" s="57"/>
      <c r="R10" s="57">
        <v>12786</v>
      </c>
      <c r="S10" s="60">
        <f t="shared" si="1"/>
        <v>341491</v>
      </c>
      <c r="T10" s="50">
        <f t="shared" si="0"/>
        <v>3.2252553118946583</v>
      </c>
    </row>
    <row r="11" spans="1:20" ht="16.5">
      <c r="A11" s="14" t="s">
        <v>20</v>
      </c>
      <c r="B11" s="57">
        <v>21808</v>
      </c>
      <c r="C11" s="57">
        <v>15874</v>
      </c>
      <c r="D11" s="57">
        <v>10054</v>
      </c>
      <c r="E11" s="57">
        <v>8554</v>
      </c>
      <c r="F11" s="57">
        <v>30399</v>
      </c>
      <c r="G11" s="57">
        <v>149838</v>
      </c>
      <c r="H11" s="57">
        <v>2996</v>
      </c>
      <c r="I11" s="57">
        <v>9032</v>
      </c>
      <c r="J11" s="57">
        <v>24965</v>
      </c>
      <c r="K11" s="57">
        <v>2288</v>
      </c>
      <c r="L11" s="57">
        <v>20170</v>
      </c>
      <c r="M11" s="58">
        <v>1789</v>
      </c>
      <c r="N11" s="57">
        <v>55561</v>
      </c>
      <c r="O11" s="57">
        <v>26439</v>
      </c>
      <c r="P11" s="57">
        <v>12838</v>
      </c>
      <c r="Q11" s="57">
        <v>9856</v>
      </c>
      <c r="R11" s="57">
        <v>18702</v>
      </c>
      <c r="S11" s="60">
        <f t="shared" si="1"/>
        <v>421163</v>
      </c>
      <c r="T11" s="50">
        <f t="shared" si="0"/>
        <v>3.9777276792755591</v>
      </c>
    </row>
    <row r="12" spans="1:20" ht="16.5">
      <c r="A12" s="14" t="s">
        <v>21</v>
      </c>
      <c r="B12" s="57">
        <v>35966</v>
      </c>
      <c r="C12" s="57">
        <v>34349</v>
      </c>
      <c r="D12" s="57">
        <v>19513</v>
      </c>
      <c r="E12" s="57">
        <v>10077</v>
      </c>
      <c r="F12" s="57">
        <v>105299</v>
      </c>
      <c r="G12" s="57">
        <f>489858+81</f>
        <v>489939</v>
      </c>
      <c r="H12" s="57">
        <v>7464</v>
      </c>
      <c r="I12" s="57">
        <v>12617</v>
      </c>
      <c r="J12" s="57">
        <v>126109</v>
      </c>
      <c r="K12" s="57">
        <v>5154</v>
      </c>
      <c r="L12" s="57">
        <v>30958</v>
      </c>
      <c r="M12" s="58">
        <v>7514</v>
      </c>
      <c r="N12" s="57">
        <v>147826</v>
      </c>
      <c r="O12" s="57">
        <v>61724</v>
      </c>
      <c r="P12" s="57">
        <v>37904</v>
      </c>
      <c r="Q12" s="57">
        <v>16926</v>
      </c>
      <c r="R12" s="57">
        <v>25817</v>
      </c>
      <c r="S12" s="60">
        <f t="shared" si="1"/>
        <v>1175156</v>
      </c>
      <c r="T12" s="50">
        <f t="shared" si="0"/>
        <v>11.098910751102895</v>
      </c>
    </row>
    <row r="13" spans="1:20" ht="16.5">
      <c r="A13" s="16" t="s">
        <v>23</v>
      </c>
      <c r="B13" s="62">
        <f t="shared" ref="B13:R13" si="3">SUM(B5:B12)</f>
        <v>88711</v>
      </c>
      <c r="C13" s="62">
        <f>SUM(C5:C12)</f>
        <v>89496</v>
      </c>
      <c r="D13" s="62">
        <f t="shared" si="3"/>
        <v>45651</v>
      </c>
      <c r="E13" s="62">
        <f t="shared" si="3"/>
        <v>24955</v>
      </c>
      <c r="F13" s="62">
        <f t="shared" si="3"/>
        <v>221168</v>
      </c>
      <c r="G13" s="62">
        <f t="shared" si="3"/>
        <v>960809</v>
      </c>
      <c r="H13" s="62">
        <f t="shared" si="3"/>
        <v>16094</v>
      </c>
      <c r="I13" s="62">
        <f t="shared" si="3"/>
        <v>30269</v>
      </c>
      <c r="J13" s="62">
        <f t="shared" si="3"/>
        <v>240992</v>
      </c>
      <c r="K13" s="62">
        <f t="shared" si="3"/>
        <v>13470</v>
      </c>
      <c r="L13" s="62">
        <f t="shared" si="3"/>
        <v>74482</v>
      </c>
      <c r="M13" s="62">
        <f t="shared" si="3"/>
        <v>20447</v>
      </c>
      <c r="N13" s="62">
        <f t="shared" si="3"/>
        <v>387104</v>
      </c>
      <c r="O13" s="62">
        <f t="shared" si="3"/>
        <v>207017</v>
      </c>
      <c r="P13" s="62">
        <f t="shared" si="3"/>
        <v>76618</v>
      </c>
      <c r="Q13" s="62">
        <f t="shared" si="3"/>
        <v>37137</v>
      </c>
      <c r="R13" s="62">
        <f t="shared" si="3"/>
        <v>78431</v>
      </c>
      <c r="S13" s="62">
        <f t="shared" ref="S13:S42" si="4">SUM(B13:R13)</f>
        <v>2612851</v>
      </c>
      <c r="T13" s="51">
        <f t="shared" si="0"/>
        <v>24.677404578566549</v>
      </c>
    </row>
    <row r="14" spans="1:20" ht="16.5">
      <c r="A14" s="16" t="s">
        <v>27</v>
      </c>
      <c r="B14" s="62">
        <f>11919+190</f>
        <v>12109</v>
      </c>
      <c r="C14" s="62">
        <v>15624</v>
      </c>
      <c r="D14" s="62">
        <v>11079</v>
      </c>
      <c r="E14" s="62">
        <v>5197</v>
      </c>
      <c r="F14" s="62">
        <v>43777</v>
      </c>
      <c r="G14" s="62">
        <f>34+124767+1677</f>
        <v>126478</v>
      </c>
      <c r="H14" s="62">
        <v>3060</v>
      </c>
      <c r="I14" s="62">
        <v>7452</v>
      </c>
      <c r="J14" s="62">
        <v>81004</v>
      </c>
      <c r="K14" s="62">
        <f>68+5+1388</f>
        <v>1461</v>
      </c>
      <c r="L14" s="62">
        <v>18205</v>
      </c>
      <c r="M14" s="62">
        <v>4812</v>
      </c>
      <c r="N14" s="62">
        <v>116305</v>
      </c>
      <c r="O14" s="62">
        <v>29336</v>
      </c>
      <c r="P14" s="62">
        <v>9565</v>
      </c>
      <c r="Q14" s="62">
        <v>9400</v>
      </c>
      <c r="R14" s="62">
        <v>8401</v>
      </c>
      <c r="S14" s="62">
        <f t="shared" si="4"/>
        <v>503265</v>
      </c>
      <c r="T14" s="51">
        <f t="shared" si="0"/>
        <v>4.7531504916400884</v>
      </c>
    </row>
    <row r="15" spans="1:20" ht="16.5">
      <c r="A15" s="16" t="s">
        <v>28</v>
      </c>
      <c r="B15" s="62">
        <f>127+2879+55</f>
        <v>3061</v>
      </c>
      <c r="C15" s="62">
        <v>15327</v>
      </c>
      <c r="D15" s="62">
        <v>5499</v>
      </c>
      <c r="E15" s="62">
        <v>7787</v>
      </c>
      <c r="F15" s="62">
        <v>17285</v>
      </c>
      <c r="G15" s="62">
        <v>47194</v>
      </c>
      <c r="H15" s="62">
        <v>1715</v>
      </c>
      <c r="I15" s="62">
        <v>1401</v>
      </c>
      <c r="J15" s="62">
        <v>18746</v>
      </c>
      <c r="K15" s="62">
        <v>1380</v>
      </c>
      <c r="L15" s="62">
        <v>15957</v>
      </c>
      <c r="M15" s="62">
        <v>3978</v>
      </c>
      <c r="N15" s="62">
        <v>48260</v>
      </c>
      <c r="O15" s="62">
        <v>14354</v>
      </c>
      <c r="P15" s="62">
        <v>48220</v>
      </c>
      <c r="Q15" s="62">
        <v>13707</v>
      </c>
      <c r="R15" s="62">
        <v>7872</v>
      </c>
      <c r="S15" s="62">
        <f t="shared" si="4"/>
        <v>271743</v>
      </c>
      <c r="T15" s="51">
        <f t="shared" si="0"/>
        <v>2.5665114284715855</v>
      </c>
    </row>
    <row r="16" spans="1:20" ht="16.5">
      <c r="A16" s="39" t="s">
        <v>75</v>
      </c>
      <c r="B16" s="57">
        <v>4</v>
      </c>
      <c r="C16" s="57">
        <v>6</v>
      </c>
      <c r="D16" s="57">
        <v>0</v>
      </c>
      <c r="E16" s="57">
        <v>0</v>
      </c>
      <c r="F16" s="57">
        <v>0</v>
      </c>
      <c r="G16" s="57">
        <v>0</v>
      </c>
      <c r="H16" s="57">
        <v>0</v>
      </c>
      <c r="I16" s="57">
        <v>0</v>
      </c>
      <c r="J16" s="57">
        <v>0</v>
      </c>
      <c r="K16" s="57">
        <v>22</v>
      </c>
      <c r="L16" s="57">
        <v>0</v>
      </c>
      <c r="M16" s="58"/>
      <c r="N16" s="57">
        <v>0</v>
      </c>
      <c r="O16" s="57">
        <v>0</v>
      </c>
      <c r="P16" s="57">
        <v>21</v>
      </c>
      <c r="Q16" s="57"/>
      <c r="R16" s="57"/>
      <c r="S16" s="64">
        <f t="shared" si="4"/>
        <v>53</v>
      </c>
      <c r="T16" s="52">
        <f t="shared" si="0"/>
        <v>5.005652609597819E-4</v>
      </c>
    </row>
    <row r="17" spans="1:20" ht="16.5">
      <c r="A17" s="14" t="s">
        <v>29</v>
      </c>
      <c r="B17" s="57">
        <v>1</v>
      </c>
      <c r="C17" s="57">
        <v>2</v>
      </c>
      <c r="D17" s="57">
        <v>1</v>
      </c>
      <c r="E17" s="57">
        <v>0</v>
      </c>
      <c r="F17" s="57">
        <v>0</v>
      </c>
      <c r="G17" s="57">
        <v>0</v>
      </c>
      <c r="H17" s="57">
        <v>0</v>
      </c>
      <c r="I17" s="57">
        <v>0</v>
      </c>
      <c r="J17" s="57">
        <v>0</v>
      </c>
      <c r="K17" s="57">
        <v>24</v>
      </c>
      <c r="L17" s="57">
        <v>0</v>
      </c>
      <c r="M17" s="58"/>
      <c r="N17" s="57">
        <v>0</v>
      </c>
      <c r="O17" s="57">
        <v>0</v>
      </c>
      <c r="P17" s="57">
        <v>51</v>
      </c>
      <c r="Q17" s="57"/>
      <c r="R17" s="57"/>
      <c r="S17" s="60">
        <f t="shared" si="4"/>
        <v>79</v>
      </c>
      <c r="T17" s="50">
        <f t="shared" si="0"/>
        <v>7.4612557765703347E-4</v>
      </c>
    </row>
    <row r="18" spans="1:20" ht="16.5">
      <c r="A18" s="16" t="s">
        <v>31</v>
      </c>
      <c r="B18" s="62">
        <f t="shared" ref="B18:R18" si="5">SUM(B16:B17)</f>
        <v>5</v>
      </c>
      <c r="C18" s="62">
        <f t="shared" si="5"/>
        <v>8</v>
      </c>
      <c r="D18" s="62">
        <f t="shared" si="5"/>
        <v>1</v>
      </c>
      <c r="E18" s="62">
        <f t="shared" si="5"/>
        <v>0</v>
      </c>
      <c r="F18" s="62">
        <f t="shared" si="5"/>
        <v>0</v>
      </c>
      <c r="G18" s="62">
        <f t="shared" si="5"/>
        <v>0</v>
      </c>
      <c r="H18" s="62">
        <f t="shared" si="5"/>
        <v>0</v>
      </c>
      <c r="I18" s="62">
        <f t="shared" si="5"/>
        <v>0</v>
      </c>
      <c r="J18" s="62">
        <f t="shared" si="5"/>
        <v>0</v>
      </c>
      <c r="K18" s="62">
        <f t="shared" si="5"/>
        <v>46</v>
      </c>
      <c r="L18" s="62">
        <f t="shared" si="5"/>
        <v>0</v>
      </c>
      <c r="M18" s="62">
        <f t="shared" si="5"/>
        <v>0</v>
      </c>
      <c r="N18" s="62">
        <f t="shared" si="5"/>
        <v>0</v>
      </c>
      <c r="O18" s="62">
        <f t="shared" si="5"/>
        <v>0</v>
      </c>
      <c r="P18" s="62">
        <f t="shared" ref="P18" si="6">SUM(P16:P17)</f>
        <v>72</v>
      </c>
      <c r="Q18" s="62">
        <f t="shared" si="5"/>
        <v>0</v>
      </c>
      <c r="R18" s="62">
        <f t="shared" si="5"/>
        <v>0</v>
      </c>
      <c r="S18" s="62">
        <f t="shared" si="4"/>
        <v>132</v>
      </c>
      <c r="T18" s="51">
        <f t="shared" si="0"/>
        <v>1.2466908386168155E-3</v>
      </c>
    </row>
    <row r="19" spans="1:20" ht="16.5">
      <c r="A19" s="14" t="s">
        <v>32</v>
      </c>
      <c r="B19" s="57">
        <v>6654</v>
      </c>
      <c r="C19" s="57">
        <v>14227</v>
      </c>
      <c r="D19" s="57">
        <v>1449</v>
      </c>
      <c r="E19" s="57">
        <v>1016</v>
      </c>
      <c r="F19" s="57">
        <v>125205</v>
      </c>
      <c r="G19" s="57">
        <v>40338</v>
      </c>
      <c r="H19" s="57">
        <v>2262</v>
      </c>
      <c r="I19" s="57">
        <v>2189</v>
      </c>
      <c r="J19" s="57">
        <v>61699</v>
      </c>
      <c r="K19" s="57">
        <v>598</v>
      </c>
      <c r="L19" s="57">
        <v>3254</v>
      </c>
      <c r="M19" s="58">
        <v>5825</v>
      </c>
      <c r="N19" s="57">
        <v>17568</v>
      </c>
      <c r="O19" s="57">
        <v>36771</v>
      </c>
      <c r="P19" s="57">
        <v>2392</v>
      </c>
      <c r="Q19" s="57"/>
      <c r="R19" s="57">
        <v>5922</v>
      </c>
      <c r="S19" s="60">
        <f t="shared" si="4"/>
        <v>327369</v>
      </c>
      <c r="T19" s="50">
        <f t="shared" si="0"/>
        <v>3.0918782814177899</v>
      </c>
    </row>
    <row r="20" spans="1:20" ht="16.5">
      <c r="A20" s="14" t="s">
        <v>33</v>
      </c>
      <c r="B20" s="57">
        <v>11239</v>
      </c>
      <c r="C20" s="57">
        <v>20203</v>
      </c>
      <c r="D20" s="57">
        <v>5923</v>
      </c>
      <c r="E20" s="57">
        <v>1880</v>
      </c>
      <c r="F20" s="57">
        <v>268975</v>
      </c>
      <c r="G20" s="57">
        <v>105944</v>
      </c>
      <c r="H20" s="57">
        <v>2784</v>
      </c>
      <c r="I20" s="57">
        <v>4106</v>
      </c>
      <c r="J20" s="57">
        <v>74560</v>
      </c>
      <c r="K20" s="57">
        <v>1852</v>
      </c>
      <c r="L20" s="57">
        <v>16179</v>
      </c>
      <c r="M20" s="58">
        <v>15439</v>
      </c>
      <c r="N20" s="57">
        <v>29836</v>
      </c>
      <c r="O20" s="57">
        <v>51700</v>
      </c>
      <c r="P20" s="57">
        <v>7735</v>
      </c>
      <c r="Q20" s="57">
        <v>0</v>
      </c>
      <c r="R20" s="57">
        <v>8758</v>
      </c>
      <c r="S20" s="60">
        <f t="shared" ref="S20" si="7">SUM(B20:R20)</f>
        <v>627113</v>
      </c>
      <c r="T20" s="50">
        <f t="shared" si="0"/>
        <v>5.9228487263447498</v>
      </c>
    </row>
    <row r="21" spans="1:20" ht="16.5">
      <c r="A21" s="20" t="s">
        <v>110</v>
      </c>
      <c r="B21" s="57">
        <v>0</v>
      </c>
      <c r="C21" s="57">
        <v>98</v>
      </c>
      <c r="D21" s="57">
        <v>0</v>
      </c>
      <c r="E21" s="57">
        <v>1</v>
      </c>
      <c r="F21" s="57">
        <v>1594</v>
      </c>
      <c r="G21" s="57">
        <v>0</v>
      </c>
      <c r="H21" s="57">
        <v>0</v>
      </c>
      <c r="I21" s="57">
        <v>0</v>
      </c>
      <c r="J21" s="57">
        <v>34</v>
      </c>
      <c r="K21" s="57">
        <v>32</v>
      </c>
      <c r="L21" s="57">
        <v>25</v>
      </c>
      <c r="M21" s="57">
        <v>11</v>
      </c>
      <c r="N21" s="57">
        <v>202</v>
      </c>
      <c r="O21" s="57">
        <v>33</v>
      </c>
      <c r="P21" s="57">
        <v>8</v>
      </c>
      <c r="Q21" s="57"/>
      <c r="R21" s="57">
        <v>93</v>
      </c>
      <c r="S21" s="60">
        <f t="shared" si="4"/>
        <v>2131</v>
      </c>
      <c r="T21" s="50">
        <f t="shared" si="0"/>
        <v>2.0126501341609346E-2</v>
      </c>
    </row>
    <row r="22" spans="1:20" ht="16.5">
      <c r="A22" s="16" t="s">
        <v>34</v>
      </c>
      <c r="B22" s="62">
        <f t="shared" ref="B22:Q22" si="8">+B21+B19+B20</f>
        <v>17893</v>
      </c>
      <c r="C22" s="62">
        <f t="shared" si="8"/>
        <v>34528</v>
      </c>
      <c r="D22" s="62">
        <f t="shared" si="8"/>
        <v>7372</v>
      </c>
      <c r="E22" s="62">
        <f t="shared" si="8"/>
        <v>2897</v>
      </c>
      <c r="F22" s="62">
        <f t="shared" si="8"/>
        <v>395774</v>
      </c>
      <c r="G22" s="62">
        <f t="shared" si="8"/>
        <v>146282</v>
      </c>
      <c r="H22" s="62">
        <f t="shared" si="8"/>
        <v>5046</v>
      </c>
      <c r="I22" s="62">
        <f t="shared" si="8"/>
        <v>6295</v>
      </c>
      <c r="J22" s="62">
        <f t="shared" si="8"/>
        <v>136293</v>
      </c>
      <c r="K22" s="62">
        <f t="shared" si="8"/>
        <v>2482</v>
      </c>
      <c r="L22" s="62">
        <f t="shared" si="8"/>
        <v>19458</v>
      </c>
      <c r="M22" s="62">
        <f t="shared" si="8"/>
        <v>21275</v>
      </c>
      <c r="N22" s="62">
        <f t="shared" si="8"/>
        <v>47606</v>
      </c>
      <c r="O22" s="62">
        <f t="shared" si="8"/>
        <v>88504</v>
      </c>
      <c r="P22" s="62">
        <f t="shared" si="8"/>
        <v>10135</v>
      </c>
      <c r="Q22" s="62">
        <f t="shared" si="8"/>
        <v>0</v>
      </c>
      <c r="R22" s="62">
        <f>+R21+R19+R20</f>
        <v>14773</v>
      </c>
      <c r="S22" s="62">
        <f t="shared" si="4"/>
        <v>956613</v>
      </c>
      <c r="T22" s="51">
        <f t="shared" si="0"/>
        <v>9.0348535091041491</v>
      </c>
    </row>
    <row r="23" spans="1:20" ht="16.5">
      <c r="A23" s="14" t="s">
        <v>36</v>
      </c>
      <c r="B23" s="57">
        <f>202+803+2+26</f>
        <v>1033</v>
      </c>
      <c r="C23" s="57">
        <v>1460</v>
      </c>
      <c r="D23" s="57">
        <v>336</v>
      </c>
      <c r="E23" s="57">
        <v>279</v>
      </c>
      <c r="F23" s="57">
        <v>0</v>
      </c>
      <c r="G23" s="57">
        <v>7906</v>
      </c>
      <c r="H23" s="57">
        <v>332</v>
      </c>
      <c r="I23" s="57">
        <v>792</v>
      </c>
      <c r="J23" s="57">
        <v>6402</v>
      </c>
      <c r="K23" s="57">
        <v>239</v>
      </c>
      <c r="L23" s="57">
        <v>801</v>
      </c>
      <c r="M23" s="58">
        <v>634</v>
      </c>
      <c r="N23" s="57">
        <v>26928</v>
      </c>
      <c r="O23" s="57">
        <v>3100</v>
      </c>
      <c r="P23" s="57">
        <v>1074</v>
      </c>
      <c r="Q23" s="57"/>
      <c r="R23" s="57">
        <v>2462</v>
      </c>
      <c r="S23" s="60">
        <f t="shared" si="4"/>
        <v>53778</v>
      </c>
      <c r="T23" s="50">
        <f t="shared" si="0"/>
        <v>0.50791318120556894</v>
      </c>
    </row>
    <row r="24" spans="1:20" ht="16.5">
      <c r="A24" s="14" t="s">
        <v>90</v>
      </c>
      <c r="B24" s="57">
        <v>0</v>
      </c>
      <c r="C24" s="57">
        <v>0</v>
      </c>
      <c r="D24" s="57">
        <v>0</v>
      </c>
      <c r="E24" s="57">
        <v>0</v>
      </c>
      <c r="F24" s="57">
        <v>0</v>
      </c>
      <c r="G24" s="57">
        <v>0</v>
      </c>
      <c r="H24" s="57">
        <v>0</v>
      </c>
      <c r="I24" s="57">
        <v>0</v>
      </c>
      <c r="J24" s="57">
        <v>0</v>
      </c>
      <c r="K24" s="57">
        <v>0</v>
      </c>
      <c r="L24" s="57">
        <v>0</v>
      </c>
      <c r="M24" s="58">
        <v>0</v>
      </c>
      <c r="N24" s="57">
        <v>0</v>
      </c>
      <c r="O24" s="57">
        <v>0</v>
      </c>
      <c r="P24" s="57">
        <v>0</v>
      </c>
      <c r="Q24" s="57"/>
      <c r="R24" s="57"/>
      <c r="S24" s="60">
        <f t="shared" si="4"/>
        <v>0</v>
      </c>
      <c r="T24" s="50">
        <f t="shared" si="0"/>
        <v>0</v>
      </c>
    </row>
    <row r="25" spans="1:20" ht="16.5">
      <c r="A25" s="14" t="s">
        <v>37</v>
      </c>
      <c r="B25" s="57">
        <v>165</v>
      </c>
      <c r="C25" s="57">
        <v>850</v>
      </c>
      <c r="D25" s="57">
        <v>31</v>
      </c>
      <c r="E25" s="57">
        <v>251</v>
      </c>
      <c r="F25" s="57">
        <v>4704</v>
      </c>
      <c r="G25" s="57">
        <v>3116</v>
      </c>
      <c r="H25" s="57">
        <v>138</v>
      </c>
      <c r="I25" s="57">
        <v>391</v>
      </c>
      <c r="J25" s="57">
        <v>4700</v>
      </c>
      <c r="K25" s="57">
        <v>91</v>
      </c>
      <c r="L25" s="57">
        <v>527</v>
      </c>
      <c r="M25" s="58">
        <v>413</v>
      </c>
      <c r="N25" s="57">
        <v>13878</v>
      </c>
      <c r="O25" s="57">
        <v>6133</v>
      </c>
      <c r="P25" s="57">
        <v>1426</v>
      </c>
      <c r="Q25" s="57"/>
      <c r="R25" s="57">
        <v>441</v>
      </c>
      <c r="S25" s="60">
        <f t="shared" si="4"/>
        <v>37255</v>
      </c>
      <c r="T25" s="50">
        <f t="shared" si="0"/>
        <v>0.35185959994446558</v>
      </c>
    </row>
    <row r="26" spans="1:20" ht="16.5">
      <c r="A26" s="14" t="s">
        <v>38</v>
      </c>
      <c r="B26" s="57">
        <f>376+4230+2570</f>
        <v>7176</v>
      </c>
      <c r="C26" s="57">
        <v>5857</v>
      </c>
      <c r="D26" s="57">
        <v>2688</v>
      </c>
      <c r="E26" s="57">
        <v>1064</v>
      </c>
      <c r="F26" s="57">
        <v>0</v>
      </c>
      <c r="G26" s="57">
        <f>4752+33355</f>
        <v>38107</v>
      </c>
      <c r="H26" s="57">
        <v>453</v>
      </c>
      <c r="I26" s="57">
        <v>1185</v>
      </c>
      <c r="J26" s="57">
        <v>12399</v>
      </c>
      <c r="K26" s="57">
        <v>419</v>
      </c>
      <c r="L26" s="57">
        <v>6779</v>
      </c>
      <c r="M26" s="58">
        <v>1076</v>
      </c>
      <c r="N26" s="57">
        <v>25852</v>
      </c>
      <c r="O26" s="57">
        <v>13929</v>
      </c>
      <c r="P26" s="57">
        <v>2296</v>
      </c>
      <c r="Q26" s="57">
        <v>2987</v>
      </c>
      <c r="R26" s="57">
        <v>4488</v>
      </c>
      <c r="S26" s="60">
        <f t="shared" si="4"/>
        <v>126755</v>
      </c>
      <c r="T26" s="50">
        <f t="shared" si="0"/>
        <v>1.1971537670369274</v>
      </c>
    </row>
    <row r="27" spans="1:20" ht="16.5">
      <c r="A27" s="14" t="s">
        <v>39</v>
      </c>
      <c r="B27" s="57">
        <f>675+1354</f>
        <v>2029</v>
      </c>
      <c r="C27" s="57">
        <v>1141</v>
      </c>
      <c r="D27" s="57">
        <v>258</v>
      </c>
      <c r="E27" s="57">
        <v>1094</v>
      </c>
      <c r="F27" s="57">
        <v>1967</v>
      </c>
      <c r="G27" s="57">
        <v>36939</v>
      </c>
      <c r="H27" s="57">
        <v>227</v>
      </c>
      <c r="I27" s="57">
        <v>286</v>
      </c>
      <c r="J27" s="57">
        <v>3929</v>
      </c>
      <c r="K27" s="57">
        <v>11</v>
      </c>
      <c r="L27" s="57">
        <v>3732</v>
      </c>
      <c r="M27" s="58">
        <v>1466</v>
      </c>
      <c r="N27" s="57">
        <v>5125</v>
      </c>
      <c r="O27" s="57">
        <v>3784</v>
      </c>
      <c r="P27" s="57">
        <v>872</v>
      </c>
      <c r="Q27" s="57">
        <v>2193</v>
      </c>
      <c r="R27" s="57">
        <v>2477</v>
      </c>
      <c r="S27" s="60">
        <f t="shared" si="4"/>
        <v>67530</v>
      </c>
      <c r="T27" s="50">
        <f t="shared" si="0"/>
        <v>0.63779569948328441</v>
      </c>
    </row>
    <row r="28" spans="1:20" ht="16.5">
      <c r="A28" s="14" t="s">
        <v>91</v>
      </c>
      <c r="B28" s="57">
        <f>480+20+1836+76</f>
        <v>2412</v>
      </c>
      <c r="C28" s="57">
        <v>7680</v>
      </c>
      <c r="D28" s="57">
        <v>4304</v>
      </c>
      <c r="E28" s="57">
        <v>3257</v>
      </c>
      <c r="F28" s="57">
        <v>26414</v>
      </c>
      <c r="G28" s="57">
        <f>18238+8016</f>
        <v>26254</v>
      </c>
      <c r="H28" s="57">
        <v>3953</v>
      </c>
      <c r="I28" s="57">
        <v>4854</v>
      </c>
      <c r="J28" s="57">
        <v>27218</v>
      </c>
      <c r="K28" s="57">
        <v>652</v>
      </c>
      <c r="L28" s="57">
        <v>6083</v>
      </c>
      <c r="M28" s="58">
        <v>5938</v>
      </c>
      <c r="N28" s="57">
        <v>68494</v>
      </c>
      <c r="O28" s="57">
        <v>26058</v>
      </c>
      <c r="P28" s="57">
        <v>6365</v>
      </c>
      <c r="Q28" s="57">
        <v>5711</v>
      </c>
      <c r="R28" s="57">
        <v>2457</v>
      </c>
      <c r="S28" s="60">
        <f t="shared" si="4"/>
        <v>228104</v>
      </c>
      <c r="T28" s="50">
        <f t="shared" si="0"/>
        <v>2.1543573261503792</v>
      </c>
    </row>
    <row r="29" spans="1:20" ht="16.5">
      <c r="A29" s="14" t="s">
        <v>41</v>
      </c>
      <c r="B29" s="57">
        <v>418</v>
      </c>
      <c r="C29" s="57">
        <v>320</v>
      </c>
      <c r="D29" s="57">
        <v>84</v>
      </c>
      <c r="E29" s="57">
        <v>334</v>
      </c>
      <c r="F29" s="57">
        <v>0</v>
      </c>
      <c r="G29" s="57">
        <v>4671</v>
      </c>
      <c r="H29" s="57">
        <v>35</v>
      </c>
      <c r="I29" s="57">
        <v>35</v>
      </c>
      <c r="J29" s="57">
        <v>2405</v>
      </c>
      <c r="K29" s="57">
        <v>69</v>
      </c>
      <c r="L29" s="57">
        <v>168</v>
      </c>
      <c r="M29" s="58">
        <v>0</v>
      </c>
      <c r="N29" s="57">
        <v>2107</v>
      </c>
      <c r="O29" s="57">
        <v>1610</v>
      </c>
      <c r="P29" s="57">
        <v>2702</v>
      </c>
      <c r="Q29" s="57"/>
      <c r="R29" s="57">
        <v>1966</v>
      </c>
      <c r="S29" s="60">
        <f t="shared" si="4"/>
        <v>16924</v>
      </c>
      <c r="T29" s="50">
        <f t="shared" si="0"/>
        <v>0.15984087691478019</v>
      </c>
    </row>
    <row r="30" spans="1:20" ht="16.5">
      <c r="A30" s="14" t="s">
        <v>42</v>
      </c>
      <c r="B30" s="57">
        <f>3335+2336</f>
        <v>5671</v>
      </c>
      <c r="C30" s="57">
        <v>3729</v>
      </c>
      <c r="D30" s="57">
        <v>5162</v>
      </c>
      <c r="E30" s="57">
        <v>1118</v>
      </c>
      <c r="F30" s="57">
        <v>22907</v>
      </c>
      <c r="G30" s="57">
        <v>27366</v>
      </c>
      <c r="H30" s="57">
        <v>4850</v>
      </c>
      <c r="I30" s="57">
        <v>1285</v>
      </c>
      <c r="J30" s="57">
        <v>39318</v>
      </c>
      <c r="K30" s="57">
        <v>367</v>
      </c>
      <c r="L30" s="57">
        <v>5918</v>
      </c>
      <c r="M30" s="58">
        <v>127</v>
      </c>
      <c r="N30" s="57">
        <v>20976</v>
      </c>
      <c r="O30" s="57">
        <v>5481</v>
      </c>
      <c r="P30" s="57">
        <v>1990</v>
      </c>
      <c r="Q30" s="57">
        <v>3123</v>
      </c>
      <c r="R30" s="57">
        <v>5464</v>
      </c>
      <c r="S30" s="60">
        <f t="shared" si="4"/>
        <v>154852</v>
      </c>
      <c r="T30" s="50">
        <f t="shared" si="0"/>
        <v>1.4625194677385689</v>
      </c>
    </row>
    <row r="31" spans="1:20" ht="16.5">
      <c r="A31" s="14" t="s">
        <v>43</v>
      </c>
      <c r="B31" s="57">
        <f>19+542+2056+954+1870+761+92</f>
        <v>6294</v>
      </c>
      <c r="C31" s="57">
        <v>15796</v>
      </c>
      <c r="D31" s="57">
        <v>14872</v>
      </c>
      <c r="E31" s="57">
        <v>14329</v>
      </c>
      <c r="F31" s="57">
        <v>96170</v>
      </c>
      <c r="G31" s="57">
        <v>71890</v>
      </c>
      <c r="H31" s="57">
        <v>13164</v>
      </c>
      <c r="I31" s="57">
        <v>13053</v>
      </c>
      <c r="J31" s="57">
        <v>84843</v>
      </c>
      <c r="K31" s="57">
        <v>738</v>
      </c>
      <c r="L31" s="57">
        <v>23019</v>
      </c>
      <c r="M31" s="58">
        <v>7896</v>
      </c>
      <c r="N31" s="57">
        <v>100895</v>
      </c>
      <c r="O31" s="57">
        <v>62329</v>
      </c>
      <c r="P31" s="57">
        <v>23924</v>
      </c>
      <c r="Q31" s="57">
        <v>15807</v>
      </c>
      <c r="R31" s="57">
        <v>10611</v>
      </c>
      <c r="S31" s="60">
        <f t="shared" si="4"/>
        <v>575630</v>
      </c>
      <c r="T31" s="50">
        <f t="shared" si="0"/>
        <v>5.4366109654014956</v>
      </c>
    </row>
    <row r="32" spans="1:20" ht="16.5">
      <c r="A32" s="16" t="s">
        <v>44</v>
      </c>
      <c r="B32" s="62">
        <f t="shared" ref="B32:R32" si="9">SUM(B23:B31)</f>
        <v>25198</v>
      </c>
      <c r="C32" s="62">
        <f t="shared" si="9"/>
        <v>36833</v>
      </c>
      <c r="D32" s="62">
        <f t="shared" si="9"/>
        <v>27735</v>
      </c>
      <c r="E32" s="62">
        <f t="shared" si="9"/>
        <v>21726</v>
      </c>
      <c r="F32" s="62">
        <f t="shared" si="9"/>
        <v>152162</v>
      </c>
      <c r="G32" s="62">
        <f t="shared" si="9"/>
        <v>216249</v>
      </c>
      <c r="H32" s="62">
        <f t="shared" si="9"/>
        <v>23152</v>
      </c>
      <c r="I32" s="62">
        <f t="shared" si="9"/>
        <v>21881</v>
      </c>
      <c r="J32" s="62">
        <f t="shared" si="9"/>
        <v>181214</v>
      </c>
      <c r="K32" s="62">
        <f t="shared" si="9"/>
        <v>2586</v>
      </c>
      <c r="L32" s="62">
        <f t="shared" si="9"/>
        <v>47027</v>
      </c>
      <c r="M32" s="62">
        <f t="shared" si="9"/>
        <v>17550</v>
      </c>
      <c r="N32" s="62">
        <f t="shared" si="9"/>
        <v>264255</v>
      </c>
      <c r="O32" s="62">
        <f t="shared" si="9"/>
        <v>122424</v>
      </c>
      <c r="P32" s="62">
        <f t="shared" ref="P32" si="10">SUM(P23:P31)</f>
        <v>40649</v>
      </c>
      <c r="Q32" s="62">
        <f t="shared" si="9"/>
        <v>29821</v>
      </c>
      <c r="R32" s="62">
        <f t="shared" si="9"/>
        <v>30366</v>
      </c>
      <c r="S32" s="62">
        <f t="shared" si="4"/>
        <v>1260828</v>
      </c>
      <c r="T32" s="51">
        <f t="shared" si="0"/>
        <v>11.90805088387547</v>
      </c>
    </row>
    <row r="33" spans="1:23" ht="16.5">
      <c r="A33" s="14" t="s">
        <v>45</v>
      </c>
      <c r="B33" s="57">
        <v>536</v>
      </c>
      <c r="C33" s="57">
        <v>801</v>
      </c>
      <c r="D33" s="57">
        <v>86</v>
      </c>
      <c r="E33" s="57">
        <v>47</v>
      </c>
      <c r="F33" s="57">
        <v>1541</v>
      </c>
      <c r="G33" s="57">
        <v>2991</v>
      </c>
      <c r="H33" s="57">
        <v>113</v>
      </c>
      <c r="I33" s="57">
        <v>38</v>
      </c>
      <c r="J33" s="57">
        <v>11337</v>
      </c>
      <c r="K33" s="57">
        <v>263</v>
      </c>
      <c r="L33" s="57">
        <v>174</v>
      </c>
      <c r="M33" s="58">
        <v>93</v>
      </c>
      <c r="N33" s="57">
        <v>1574</v>
      </c>
      <c r="O33" s="57">
        <v>2319</v>
      </c>
      <c r="P33" s="57">
        <v>171</v>
      </c>
      <c r="Q33" s="57"/>
      <c r="R33" s="57">
        <v>1368</v>
      </c>
      <c r="S33" s="60">
        <f t="shared" si="4"/>
        <v>23452</v>
      </c>
      <c r="T33" s="50">
        <f t="shared" si="0"/>
        <v>0.22149540566092085</v>
      </c>
    </row>
    <row r="34" spans="1:23" ht="16.5">
      <c r="A34" s="14" t="s">
        <v>24</v>
      </c>
      <c r="B34" s="57">
        <v>5038</v>
      </c>
      <c r="C34" s="57">
        <v>18327</v>
      </c>
      <c r="D34" s="57">
        <v>11017</v>
      </c>
      <c r="E34" s="57">
        <v>2079</v>
      </c>
      <c r="F34" s="57">
        <v>161883</v>
      </c>
      <c r="G34" s="57">
        <v>42636</v>
      </c>
      <c r="H34" s="57">
        <v>5253</v>
      </c>
      <c r="I34" s="57">
        <v>851</v>
      </c>
      <c r="J34" s="57">
        <v>64875</v>
      </c>
      <c r="K34" s="57">
        <v>1385</v>
      </c>
      <c r="L34" s="57">
        <v>9726</v>
      </c>
      <c r="M34" s="58">
        <v>8644</v>
      </c>
      <c r="N34" s="57">
        <v>30204</v>
      </c>
      <c r="O34" s="57">
        <v>47072</v>
      </c>
      <c r="P34" s="57">
        <v>4239</v>
      </c>
      <c r="Q34" s="57">
        <v>2623</v>
      </c>
      <c r="R34" s="57">
        <v>3591</v>
      </c>
      <c r="S34" s="60">
        <f t="shared" ref="S34:S41" si="11">SUM(B34:R34)</f>
        <v>419443</v>
      </c>
      <c r="T34" s="50">
        <f t="shared" si="0"/>
        <v>3.9614829198632795</v>
      </c>
    </row>
    <row r="35" spans="1:23" ht="16.5">
      <c r="A35" s="14" t="s">
        <v>87</v>
      </c>
      <c r="B35" s="57">
        <v>162</v>
      </c>
      <c r="C35" s="57">
        <v>1742</v>
      </c>
      <c r="D35" s="57">
        <v>640</v>
      </c>
      <c r="E35" s="57">
        <v>100</v>
      </c>
      <c r="F35" s="57">
        <v>22782</v>
      </c>
      <c r="G35" s="57">
        <v>2069</v>
      </c>
      <c r="H35" s="57">
        <v>0</v>
      </c>
      <c r="I35" s="57">
        <v>37</v>
      </c>
      <c r="J35" s="57">
        <v>4813</v>
      </c>
      <c r="K35" s="57">
        <v>353</v>
      </c>
      <c r="L35" s="57">
        <v>334</v>
      </c>
      <c r="M35" s="58">
        <v>612</v>
      </c>
      <c r="N35" s="57">
        <v>2362</v>
      </c>
      <c r="O35" s="57">
        <v>4595</v>
      </c>
      <c r="P35" s="57">
        <v>251</v>
      </c>
      <c r="Q35" s="57"/>
      <c r="R35" s="57">
        <v>429</v>
      </c>
      <c r="S35" s="60">
        <f t="shared" si="11"/>
        <v>41281</v>
      </c>
      <c r="T35" s="50">
        <f t="shared" si="0"/>
        <v>0.38988367052227846</v>
      </c>
    </row>
    <row r="36" spans="1:23" ht="16.5">
      <c r="A36" s="14" t="s">
        <v>47</v>
      </c>
      <c r="B36" s="57">
        <v>9831</v>
      </c>
      <c r="C36" s="57">
        <v>8302</v>
      </c>
      <c r="D36" s="57">
        <v>1964</v>
      </c>
      <c r="E36" s="57">
        <v>371</v>
      </c>
      <c r="F36" s="57">
        <v>39914</v>
      </c>
      <c r="G36" s="57">
        <v>82783</v>
      </c>
      <c r="H36" s="57">
        <f>3453+31</f>
        <v>3484</v>
      </c>
      <c r="I36" s="57">
        <v>208</v>
      </c>
      <c r="J36" s="57">
        <v>223664</v>
      </c>
      <c r="K36" s="57">
        <v>1657</v>
      </c>
      <c r="L36" s="57">
        <v>4262</v>
      </c>
      <c r="M36" s="58">
        <v>4980</v>
      </c>
      <c r="N36" s="59">
        <f>2335+20154</f>
        <v>22489</v>
      </c>
      <c r="O36" s="57">
        <v>28231</v>
      </c>
      <c r="P36" s="57">
        <v>4491</v>
      </c>
      <c r="Q36" s="57"/>
      <c r="R36" s="57">
        <v>5719</v>
      </c>
      <c r="S36" s="60">
        <f t="shared" si="11"/>
        <v>442350</v>
      </c>
      <c r="T36" s="50">
        <f t="shared" si="0"/>
        <v>4.1778310035011232</v>
      </c>
    </row>
    <row r="37" spans="1:23" ht="16.5">
      <c r="A37" s="14" t="s">
        <v>88</v>
      </c>
      <c r="B37" s="57">
        <f>990+38+984</f>
        <v>2012</v>
      </c>
      <c r="C37" s="57">
        <v>2870</v>
      </c>
      <c r="D37" s="57">
        <v>634</v>
      </c>
      <c r="E37" s="57">
        <v>129</v>
      </c>
      <c r="F37" s="57">
        <v>10822</v>
      </c>
      <c r="G37" s="57">
        <v>13503</v>
      </c>
      <c r="H37" s="57">
        <v>1447</v>
      </c>
      <c r="I37" s="57">
        <v>32</v>
      </c>
      <c r="J37" s="57">
        <v>63675</v>
      </c>
      <c r="K37" s="57">
        <v>460</v>
      </c>
      <c r="L37" s="57">
        <v>1074</v>
      </c>
      <c r="M37" s="58">
        <v>781</v>
      </c>
      <c r="N37" s="57">
        <v>4463</v>
      </c>
      <c r="O37" s="57">
        <v>12696</v>
      </c>
      <c r="P37" s="57">
        <v>364</v>
      </c>
      <c r="Q37" s="57"/>
      <c r="R37" s="57">
        <v>2934</v>
      </c>
      <c r="S37" s="60">
        <f t="shared" si="11"/>
        <v>117896</v>
      </c>
      <c r="T37" s="50">
        <f t="shared" ref="T37:T65" si="12">S37/S$65*100</f>
        <v>1.1134838114361219</v>
      </c>
    </row>
    <row r="38" spans="1:23" ht="16.5">
      <c r="A38" s="14" t="s">
        <v>48</v>
      </c>
      <c r="B38" s="57">
        <v>0</v>
      </c>
      <c r="C38" s="57">
        <v>0</v>
      </c>
      <c r="D38" s="57">
        <v>0</v>
      </c>
      <c r="E38" s="57">
        <v>0</v>
      </c>
      <c r="F38" s="57">
        <v>0</v>
      </c>
      <c r="G38" s="57">
        <v>0</v>
      </c>
      <c r="H38" s="57">
        <v>0</v>
      </c>
      <c r="I38" s="57">
        <v>0</v>
      </c>
      <c r="J38" s="57">
        <v>43682</v>
      </c>
      <c r="K38" s="57">
        <v>0</v>
      </c>
      <c r="L38" s="57">
        <v>0</v>
      </c>
      <c r="M38" s="58">
        <v>0</v>
      </c>
      <c r="N38" s="57">
        <v>0</v>
      </c>
      <c r="O38" s="57">
        <v>0</v>
      </c>
      <c r="P38" s="57">
        <v>0</v>
      </c>
      <c r="Q38" s="57"/>
      <c r="R38" s="57"/>
      <c r="S38" s="60">
        <f t="shared" si="11"/>
        <v>43682</v>
      </c>
      <c r="T38" s="50">
        <f t="shared" si="12"/>
        <v>0.41256022130651315</v>
      </c>
    </row>
    <row r="39" spans="1:23" ht="16.5">
      <c r="A39" s="14" t="s">
        <v>49</v>
      </c>
      <c r="B39" s="57">
        <v>26</v>
      </c>
      <c r="C39" s="57">
        <v>102</v>
      </c>
      <c r="D39" s="57">
        <v>11</v>
      </c>
      <c r="E39" s="57">
        <v>0</v>
      </c>
      <c r="F39" s="57">
        <v>148</v>
      </c>
      <c r="G39" s="57">
        <v>716</v>
      </c>
      <c r="H39" s="57">
        <v>6</v>
      </c>
      <c r="I39" s="57">
        <v>0</v>
      </c>
      <c r="J39" s="57">
        <v>1647</v>
      </c>
      <c r="K39" s="57">
        <v>50</v>
      </c>
      <c r="L39" s="57">
        <v>20</v>
      </c>
      <c r="M39" s="58">
        <v>25</v>
      </c>
      <c r="N39" s="57">
        <v>765</v>
      </c>
      <c r="O39" s="57">
        <v>175</v>
      </c>
      <c r="P39" s="57">
        <v>11</v>
      </c>
      <c r="Q39" s="57"/>
      <c r="R39" s="57">
        <v>327</v>
      </c>
      <c r="S39" s="60">
        <f t="shared" si="11"/>
        <v>4029</v>
      </c>
      <c r="T39" s="50">
        <f t="shared" si="12"/>
        <v>3.8052404460508706E-2</v>
      </c>
    </row>
    <row r="40" spans="1:23" ht="16.5">
      <c r="A40" s="14" t="s">
        <v>30</v>
      </c>
      <c r="B40" s="57">
        <f>6249+2149</f>
        <v>8398</v>
      </c>
      <c r="C40" s="57">
        <v>16946</v>
      </c>
      <c r="D40" s="57">
        <v>6447</v>
      </c>
      <c r="E40" s="57">
        <v>2937</v>
      </c>
      <c r="F40" s="57">
        <v>37393</v>
      </c>
      <c r="G40" s="57">
        <v>161852</v>
      </c>
      <c r="H40" s="57">
        <v>5812</v>
      </c>
      <c r="I40" s="57">
        <v>2794</v>
      </c>
      <c r="J40" s="57">
        <v>53660</v>
      </c>
      <c r="K40" s="57">
        <v>1377</v>
      </c>
      <c r="L40" s="57">
        <v>15361</v>
      </c>
      <c r="M40" s="58">
        <v>5273</v>
      </c>
      <c r="N40" s="57">
        <v>91452</v>
      </c>
      <c r="O40" s="98">
        <v>30350</v>
      </c>
      <c r="P40" s="57">
        <v>4130</v>
      </c>
      <c r="Q40" s="57">
        <v>2421</v>
      </c>
      <c r="R40" s="57">
        <v>4904</v>
      </c>
      <c r="S40" s="60">
        <f t="shared" si="11"/>
        <v>451507</v>
      </c>
      <c r="T40" s="50">
        <f t="shared" si="12"/>
        <v>4.264315458116382</v>
      </c>
    </row>
    <row r="41" spans="1:23" ht="16.5">
      <c r="A41" s="14" t="s">
        <v>25</v>
      </c>
      <c r="B41" s="57">
        <v>7667</v>
      </c>
      <c r="C41" s="57">
        <v>28479</v>
      </c>
      <c r="D41" s="57">
        <v>13662</v>
      </c>
      <c r="E41" s="57">
        <v>3005</v>
      </c>
      <c r="F41" s="57">
        <v>285930</v>
      </c>
      <c r="G41" s="57">
        <v>52660</v>
      </c>
      <c r="H41" s="57">
        <v>10581</v>
      </c>
      <c r="I41" s="57">
        <v>5473</v>
      </c>
      <c r="J41" s="57">
        <v>84270</v>
      </c>
      <c r="K41" s="57">
        <v>2797</v>
      </c>
      <c r="L41" s="57">
        <v>20267</v>
      </c>
      <c r="M41" s="58">
        <v>17595</v>
      </c>
      <c r="N41" s="57">
        <v>61106</v>
      </c>
      <c r="O41" s="57">
        <v>67266</v>
      </c>
      <c r="P41" s="57">
        <v>9844</v>
      </c>
      <c r="Q41" s="57">
        <v>6963</v>
      </c>
      <c r="R41" s="57">
        <v>6366</v>
      </c>
      <c r="S41" s="60">
        <f t="shared" si="11"/>
        <v>683931</v>
      </c>
      <c r="T41" s="50">
        <f t="shared" si="12"/>
        <v>6.459473575348766</v>
      </c>
    </row>
    <row r="42" spans="1:23" ht="16.5">
      <c r="A42" s="14" t="s">
        <v>72</v>
      </c>
      <c r="B42" s="57">
        <v>7</v>
      </c>
      <c r="C42" s="57">
        <v>0</v>
      </c>
      <c r="D42" s="57">
        <v>1</v>
      </c>
      <c r="E42" s="57">
        <v>0</v>
      </c>
      <c r="F42" s="57">
        <v>1</v>
      </c>
      <c r="G42" s="57">
        <v>0</v>
      </c>
      <c r="H42" s="57">
        <v>0</v>
      </c>
      <c r="I42" s="57">
        <v>0</v>
      </c>
      <c r="J42" s="57">
        <v>0</v>
      </c>
      <c r="K42" s="57">
        <v>5</v>
      </c>
      <c r="L42" s="57">
        <v>14</v>
      </c>
      <c r="M42" s="58">
        <v>0</v>
      </c>
      <c r="N42" s="57">
        <v>0</v>
      </c>
      <c r="O42" s="57">
        <v>0</v>
      </c>
      <c r="P42" s="57">
        <v>6</v>
      </c>
      <c r="Q42" s="57"/>
      <c r="R42" s="57"/>
      <c r="S42" s="60">
        <f t="shared" si="4"/>
        <v>34</v>
      </c>
      <c r="T42" s="50">
        <f t="shared" si="12"/>
        <v>3.2111733721948275E-4</v>
      </c>
    </row>
    <row r="43" spans="1:23" ht="16.5">
      <c r="A43" s="16" t="s">
        <v>119</v>
      </c>
      <c r="B43" s="62">
        <f t="shared" ref="B43:P43" si="13">SUM(B33:B42)</f>
        <v>33677</v>
      </c>
      <c r="C43" s="62">
        <f t="shared" si="13"/>
        <v>77569</v>
      </c>
      <c r="D43" s="62">
        <f t="shared" si="13"/>
        <v>34462</v>
      </c>
      <c r="E43" s="62">
        <f t="shared" si="13"/>
        <v>8668</v>
      </c>
      <c r="F43" s="62">
        <f t="shared" si="13"/>
        <v>560414</v>
      </c>
      <c r="G43" s="62">
        <f t="shared" si="13"/>
        <v>359210</v>
      </c>
      <c r="H43" s="62">
        <f t="shared" si="13"/>
        <v>26696</v>
      </c>
      <c r="I43" s="62">
        <f t="shared" si="13"/>
        <v>9433</v>
      </c>
      <c r="J43" s="62">
        <f t="shared" si="13"/>
        <v>551623</v>
      </c>
      <c r="K43" s="62">
        <f t="shared" si="13"/>
        <v>8347</v>
      </c>
      <c r="L43" s="62">
        <f t="shared" si="13"/>
        <v>51232</v>
      </c>
      <c r="M43" s="62">
        <f t="shared" si="13"/>
        <v>38003</v>
      </c>
      <c r="N43" s="62">
        <f t="shared" si="13"/>
        <v>214415</v>
      </c>
      <c r="O43" s="62">
        <f t="shared" si="13"/>
        <v>192704</v>
      </c>
      <c r="P43" s="62">
        <f t="shared" si="13"/>
        <v>23507</v>
      </c>
      <c r="Q43" s="62">
        <f>SUM(Q33:Q42)</f>
        <v>12007</v>
      </c>
      <c r="R43" s="62">
        <f>SUM(R33:R42)</f>
        <v>25638</v>
      </c>
      <c r="S43" s="62">
        <f>SUM(R33:S41)</f>
        <v>2253209</v>
      </c>
      <c r="T43" s="51">
        <f t="shared" si="12"/>
        <v>21.280719831734515</v>
      </c>
    </row>
    <row r="44" spans="1:23" ht="16.5">
      <c r="A44" s="14" t="s">
        <v>52</v>
      </c>
      <c r="B44" s="57">
        <f>9778+1106+59+1367+253</f>
        <v>12563</v>
      </c>
      <c r="C44" s="57">
        <v>27525</v>
      </c>
      <c r="D44" s="57">
        <v>12159</v>
      </c>
      <c r="E44" s="57">
        <v>5649</v>
      </c>
      <c r="F44" s="57">
        <v>50789</v>
      </c>
      <c r="G44" s="57">
        <v>225392</v>
      </c>
      <c r="H44" s="57">
        <v>4295</v>
      </c>
      <c r="I44" s="57">
        <v>3263</v>
      </c>
      <c r="J44" s="57">
        <v>47357</v>
      </c>
      <c r="K44" s="57">
        <v>4483</v>
      </c>
      <c r="L44" s="57">
        <v>12318</v>
      </c>
      <c r="M44" s="58">
        <v>11383</v>
      </c>
      <c r="N44" s="57">
        <v>97945</v>
      </c>
      <c r="O44" s="57">
        <v>33676</v>
      </c>
      <c r="P44" s="57">
        <v>16735</v>
      </c>
      <c r="Q44" s="57">
        <v>9001</v>
      </c>
      <c r="R44" s="57">
        <v>21588</v>
      </c>
      <c r="S44" s="60">
        <f t="shared" ref="S44:S64" si="14">SUM(B44:R44)</f>
        <v>596121</v>
      </c>
      <c r="T44" s="50">
        <f t="shared" si="12"/>
        <v>5.6301408288416264</v>
      </c>
    </row>
    <row r="45" spans="1:23" ht="16.5">
      <c r="A45" s="14" t="s">
        <v>53</v>
      </c>
      <c r="B45" s="57">
        <v>170</v>
      </c>
      <c r="C45" s="57">
        <v>164</v>
      </c>
      <c r="D45" s="57">
        <v>3</v>
      </c>
      <c r="E45" s="57">
        <v>1</v>
      </c>
      <c r="F45" s="57">
        <v>1602</v>
      </c>
      <c r="G45" s="57">
        <v>24023</v>
      </c>
      <c r="H45" s="57">
        <v>80</v>
      </c>
      <c r="I45" s="57">
        <v>0</v>
      </c>
      <c r="J45" s="57">
        <v>6881</v>
      </c>
      <c r="K45" s="57">
        <v>220</v>
      </c>
      <c r="L45" s="57">
        <v>217</v>
      </c>
      <c r="M45" s="58">
        <v>430</v>
      </c>
      <c r="N45" s="57">
        <v>1581</v>
      </c>
      <c r="O45" s="57">
        <v>1064</v>
      </c>
      <c r="P45" s="57">
        <v>3</v>
      </c>
      <c r="Q45" s="57"/>
      <c r="R45" s="57">
        <v>399</v>
      </c>
      <c r="S45" s="60">
        <f t="shared" si="14"/>
        <v>36838</v>
      </c>
      <c r="T45" s="50">
        <f t="shared" si="12"/>
        <v>0.34792119024974427</v>
      </c>
    </row>
    <row r="46" spans="1:23" ht="16.5">
      <c r="A46" s="16" t="s">
        <v>54</v>
      </c>
      <c r="B46" s="62">
        <f t="shared" ref="B46:J46" si="15">+B45+B44</f>
        <v>12733</v>
      </c>
      <c r="C46" s="62">
        <f t="shared" si="15"/>
        <v>27689</v>
      </c>
      <c r="D46" s="62">
        <f t="shared" si="15"/>
        <v>12162</v>
      </c>
      <c r="E46" s="62">
        <f t="shared" si="15"/>
        <v>5650</v>
      </c>
      <c r="F46" s="62">
        <f t="shared" si="15"/>
        <v>52391</v>
      </c>
      <c r="G46" s="62">
        <f t="shared" si="15"/>
        <v>249415</v>
      </c>
      <c r="H46" s="62">
        <f t="shared" si="15"/>
        <v>4375</v>
      </c>
      <c r="I46" s="62">
        <f t="shared" si="15"/>
        <v>3263</v>
      </c>
      <c r="J46" s="62">
        <f t="shared" si="15"/>
        <v>54238</v>
      </c>
      <c r="K46" s="62">
        <f>SUM(K44:K45)</f>
        <v>4703</v>
      </c>
      <c r="L46" s="62">
        <f>SUM(L44:L45)</f>
        <v>12535</v>
      </c>
      <c r="M46" s="62">
        <f t="shared" ref="M46:R46" si="16">+M45+M44</f>
        <v>11813</v>
      </c>
      <c r="N46" s="62">
        <f t="shared" si="16"/>
        <v>99526</v>
      </c>
      <c r="O46" s="62">
        <f t="shared" si="16"/>
        <v>34740</v>
      </c>
      <c r="P46" s="62">
        <f t="shared" si="16"/>
        <v>16738</v>
      </c>
      <c r="Q46" s="62">
        <f t="shared" si="16"/>
        <v>9001</v>
      </c>
      <c r="R46" s="62">
        <f t="shared" si="16"/>
        <v>21987</v>
      </c>
      <c r="S46" s="62">
        <f t="shared" si="14"/>
        <v>632959</v>
      </c>
      <c r="T46" s="51">
        <f t="shared" si="12"/>
        <v>5.9780620190913698</v>
      </c>
      <c r="W46" s="100"/>
    </row>
    <row r="47" spans="1:23" ht="16.5">
      <c r="A47" s="14" t="s">
        <v>55</v>
      </c>
      <c r="B47" s="57">
        <v>15630</v>
      </c>
      <c r="C47" s="57">
        <v>38962</v>
      </c>
      <c r="D47" s="57">
        <v>13113</v>
      </c>
      <c r="E47" s="57">
        <v>4821</v>
      </c>
      <c r="F47" s="57">
        <v>45970</v>
      </c>
      <c r="G47" s="57">
        <v>222481</v>
      </c>
      <c r="H47" s="57">
        <v>4187</v>
      </c>
      <c r="I47" s="57">
        <v>4457</v>
      </c>
      <c r="J47" s="57">
        <v>51286</v>
      </c>
      <c r="K47" s="57">
        <v>4469</v>
      </c>
      <c r="L47" s="57">
        <v>18608</v>
      </c>
      <c r="M47" s="58">
        <v>11263</v>
      </c>
      <c r="N47" s="57">
        <v>116577</v>
      </c>
      <c r="O47" s="57">
        <v>35193</v>
      </c>
      <c r="P47" s="57">
        <v>16205</v>
      </c>
      <c r="Q47" s="57">
        <v>11119</v>
      </c>
      <c r="R47" s="65">
        <v>21037</v>
      </c>
      <c r="S47" s="60">
        <f t="shared" si="14"/>
        <v>635378</v>
      </c>
      <c r="T47" s="50">
        <f t="shared" si="12"/>
        <v>6.0009085731717802</v>
      </c>
    </row>
    <row r="48" spans="1:23" ht="16.5">
      <c r="A48" s="14" t="s">
        <v>56</v>
      </c>
      <c r="B48" s="57">
        <v>2574</v>
      </c>
      <c r="C48" s="57">
        <v>6949</v>
      </c>
      <c r="D48" s="57">
        <v>1313</v>
      </c>
      <c r="E48" s="57">
        <v>343</v>
      </c>
      <c r="F48" s="57">
        <v>25337</v>
      </c>
      <c r="G48" s="57">
        <v>42938</v>
      </c>
      <c r="H48" s="57">
        <v>1914</v>
      </c>
      <c r="I48" s="57">
        <v>592</v>
      </c>
      <c r="J48" s="57">
        <v>18321</v>
      </c>
      <c r="K48" s="57">
        <v>1003</v>
      </c>
      <c r="L48" s="57">
        <v>5790</v>
      </c>
      <c r="M48" s="58">
        <v>1957</v>
      </c>
      <c r="N48" s="57">
        <v>45756</v>
      </c>
      <c r="O48" s="57">
        <v>8428</v>
      </c>
      <c r="P48" s="57">
        <v>2764</v>
      </c>
      <c r="Q48" s="57"/>
      <c r="R48" s="65">
        <v>4499</v>
      </c>
      <c r="S48" s="60">
        <f t="shared" si="14"/>
        <v>170478</v>
      </c>
      <c r="T48" s="50">
        <f t="shared" si="12"/>
        <v>1.6101012180736169</v>
      </c>
    </row>
    <row r="49" spans="1:20" ht="16.5">
      <c r="A49" s="14" t="s">
        <v>78</v>
      </c>
      <c r="B49" s="57">
        <v>3</v>
      </c>
      <c r="C49" s="57">
        <v>7</v>
      </c>
      <c r="D49" s="57">
        <v>0</v>
      </c>
      <c r="E49" s="57">
        <v>0</v>
      </c>
      <c r="F49" s="57">
        <v>12</v>
      </c>
      <c r="G49" s="57">
        <v>161</v>
      </c>
      <c r="H49" s="57">
        <v>0</v>
      </c>
      <c r="I49" s="57">
        <v>2</v>
      </c>
      <c r="J49" s="57">
        <v>13</v>
      </c>
      <c r="K49" s="57">
        <v>5</v>
      </c>
      <c r="L49" s="57">
        <v>16</v>
      </c>
      <c r="M49" s="58">
        <v>0</v>
      </c>
      <c r="N49" s="57">
        <v>0</v>
      </c>
      <c r="O49" s="57">
        <v>3</v>
      </c>
      <c r="P49" s="57">
        <v>0</v>
      </c>
      <c r="Q49" s="57"/>
      <c r="R49" s="65"/>
      <c r="S49" s="60">
        <f t="shared" si="14"/>
        <v>222</v>
      </c>
      <c r="T49" s="50">
        <f t="shared" si="12"/>
        <v>2.096707319491917E-3</v>
      </c>
    </row>
    <row r="50" spans="1:20" ht="16.5">
      <c r="A50" s="16" t="s">
        <v>57</v>
      </c>
      <c r="B50" s="62">
        <f>+B48+B47+B49</f>
        <v>18207</v>
      </c>
      <c r="C50" s="62">
        <f>+C48+C47+C49</f>
        <v>45918</v>
      </c>
      <c r="D50" s="62">
        <f t="shared" ref="D50:R50" si="17">+D48+D47+D49</f>
        <v>14426</v>
      </c>
      <c r="E50" s="62">
        <f t="shared" si="17"/>
        <v>5164</v>
      </c>
      <c r="F50" s="62">
        <f t="shared" si="17"/>
        <v>71319</v>
      </c>
      <c r="G50" s="62">
        <f t="shared" si="17"/>
        <v>265580</v>
      </c>
      <c r="H50" s="62">
        <f t="shared" si="17"/>
        <v>6101</v>
      </c>
      <c r="I50" s="62">
        <f t="shared" si="17"/>
        <v>5051</v>
      </c>
      <c r="J50" s="62">
        <f t="shared" si="17"/>
        <v>69620</v>
      </c>
      <c r="K50" s="62">
        <f t="shared" si="17"/>
        <v>5477</v>
      </c>
      <c r="L50" s="62">
        <f>+L48+L47+L49</f>
        <v>24414</v>
      </c>
      <c r="M50" s="62">
        <f t="shared" si="17"/>
        <v>13220</v>
      </c>
      <c r="N50" s="62">
        <f t="shared" si="17"/>
        <v>162333</v>
      </c>
      <c r="O50" s="62">
        <f t="shared" si="17"/>
        <v>43624</v>
      </c>
      <c r="P50" s="62">
        <f t="shared" si="17"/>
        <v>18969</v>
      </c>
      <c r="Q50" s="62">
        <f>+Q47</f>
        <v>11119</v>
      </c>
      <c r="R50" s="62">
        <f t="shared" si="17"/>
        <v>25536</v>
      </c>
      <c r="S50" s="62">
        <f t="shared" si="14"/>
        <v>806078</v>
      </c>
      <c r="T50" s="51">
        <f t="shared" si="12"/>
        <v>7.6131064985648891</v>
      </c>
    </row>
    <row r="51" spans="1:20" ht="16.5">
      <c r="A51" s="14" t="s">
        <v>58</v>
      </c>
      <c r="B51" s="57">
        <f>5471+3155+3310</f>
        <v>11936</v>
      </c>
      <c r="C51" s="57">
        <v>13957</v>
      </c>
      <c r="D51" s="57">
        <v>11184</v>
      </c>
      <c r="E51" s="57">
        <v>3561</v>
      </c>
      <c r="F51" s="57">
        <v>45241</v>
      </c>
      <c r="G51" s="57">
        <v>106620</v>
      </c>
      <c r="H51" s="57">
        <v>8809</v>
      </c>
      <c r="I51" s="57">
        <v>10740</v>
      </c>
      <c r="J51" s="57">
        <v>45014</v>
      </c>
      <c r="K51" s="57">
        <v>1651</v>
      </c>
      <c r="L51" s="57">
        <v>13384</v>
      </c>
      <c r="M51" s="58">
        <v>7610</v>
      </c>
      <c r="N51" s="57">
        <v>69680</v>
      </c>
      <c r="O51" s="57">
        <v>57508</v>
      </c>
      <c r="P51" s="57">
        <v>8823</v>
      </c>
      <c r="Q51" s="57">
        <v>8667</v>
      </c>
      <c r="R51" s="57">
        <v>8166</v>
      </c>
      <c r="S51" s="60">
        <f t="shared" si="14"/>
        <v>432551</v>
      </c>
      <c r="T51" s="50">
        <f t="shared" si="12"/>
        <v>4.0852830979889552</v>
      </c>
    </row>
    <row r="52" spans="1:20" ht="16.5">
      <c r="A52" s="14" t="s">
        <v>59</v>
      </c>
      <c r="B52" s="57">
        <f>4732+3534</f>
        <v>8266</v>
      </c>
      <c r="C52" s="57">
        <v>13347</v>
      </c>
      <c r="D52" s="57">
        <v>9180</v>
      </c>
      <c r="E52" s="57">
        <v>8017</v>
      </c>
      <c r="F52" s="57">
        <v>44215</v>
      </c>
      <c r="G52" s="57">
        <v>65839</v>
      </c>
      <c r="H52" s="57">
        <v>4600</v>
      </c>
      <c r="I52" s="57">
        <v>6636</v>
      </c>
      <c r="J52" s="57">
        <v>43907</v>
      </c>
      <c r="K52" s="57">
        <v>906</v>
      </c>
      <c r="L52" s="57">
        <v>30008</v>
      </c>
      <c r="M52" s="58">
        <v>5344</v>
      </c>
      <c r="N52" s="57">
        <v>90817</v>
      </c>
      <c r="O52" s="57">
        <v>57235</v>
      </c>
      <c r="P52" s="57">
        <v>29867</v>
      </c>
      <c r="Q52" s="57">
        <v>5516</v>
      </c>
      <c r="R52" s="57">
        <v>4603</v>
      </c>
      <c r="S52" s="60">
        <f t="shared" si="14"/>
        <v>428303</v>
      </c>
      <c r="T52" s="50">
        <f t="shared" si="12"/>
        <v>4.0451623200916504</v>
      </c>
    </row>
    <row r="53" spans="1:20" ht="16.5">
      <c r="A53" s="14" t="s">
        <v>60</v>
      </c>
      <c r="B53" s="57">
        <v>39</v>
      </c>
      <c r="C53" s="57">
        <v>979</v>
      </c>
      <c r="D53" s="57">
        <v>0</v>
      </c>
      <c r="E53" s="57">
        <v>20</v>
      </c>
      <c r="F53" s="57">
        <v>0</v>
      </c>
      <c r="G53" s="57">
        <v>1546</v>
      </c>
      <c r="H53" s="57">
        <v>0</v>
      </c>
      <c r="I53" s="57">
        <v>104</v>
      </c>
      <c r="J53" s="57">
        <v>817</v>
      </c>
      <c r="K53" s="57">
        <v>22</v>
      </c>
      <c r="L53" s="57">
        <v>0</v>
      </c>
      <c r="M53" s="58">
        <v>0</v>
      </c>
      <c r="N53" s="57">
        <v>1525</v>
      </c>
      <c r="O53" s="57">
        <v>2412</v>
      </c>
      <c r="P53" s="57">
        <v>0</v>
      </c>
      <c r="Q53" s="57"/>
      <c r="R53" s="57">
        <v>30</v>
      </c>
      <c r="S53" s="60">
        <f t="shared" si="14"/>
        <v>7494</v>
      </c>
      <c r="T53" s="50">
        <f t="shared" si="12"/>
        <v>7.0778038974200111E-2</v>
      </c>
    </row>
    <row r="54" spans="1:20" ht="16.5">
      <c r="A54" s="16" t="s">
        <v>61</v>
      </c>
      <c r="B54" s="62">
        <f t="shared" ref="B54:R54" si="18">SUM(B51:B53)</f>
        <v>20241</v>
      </c>
      <c r="C54" s="62">
        <f t="shared" si="18"/>
        <v>28283</v>
      </c>
      <c r="D54" s="62">
        <f t="shared" si="18"/>
        <v>20364</v>
      </c>
      <c r="E54" s="62">
        <f t="shared" si="18"/>
        <v>11598</v>
      </c>
      <c r="F54" s="62">
        <f t="shared" si="18"/>
        <v>89456</v>
      </c>
      <c r="G54" s="62">
        <f t="shared" si="18"/>
        <v>174005</v>
      </c>
      <c r="H54" s="62">
        <f t="shared" si="18"/>
        <v>13409</v>
      </c>
      <c r="I54" s="62">
        <f t="shared" si="18"/>
        <v>17480</v>
      </c>
      <c r="J54" s="62">
        <f t="shared" si="18"/>
        <v>89738</v>
      </c>
      <c r="K54" s="62">
        <f t="shared" si="18"/>
        <v>2579</v>
      </c>
      <c r="L54" s="62">
        <f>SUM(L51:L53)</f>
        <v>43392</v>
      </c>
      <c r="M54" s="62">
        <f t="shared" si="18"/>
        <v>12954</v>
      </c>
      <c r="N54" s="62">
        <f t="shared" si="18"/>
        <v>162022</v>
      </c>
      <c r="O54" s="62">
        <f t="shared" si="18"/>
        <v>117155</v>
      </c>
      <c r="P54" s="62">
        <f t="shared" ref="P54" si="19">SUM(P51:P53)</f>
        <v>38690</v>
      </c>
      <c r="Q54" s="62">
        <f t="shared" si="18"/>
        <v>14183</v>
      </c>
      <c r="R54" s="62">
        <f t="shared" si="18"/>
        <v>12799</v>
      </c>
      <c r="S54" s="62">
        <f t="shared" si="14"/>
        <v>868348</v>
      </c>
      <c r="T54" s="51">
        <f t="shared" si="12"/>
        <v>8.2012234570548053</v>
      </c>
    </row>
    <row r="55" spans="1:20" ht="16.5">
      <c r="A55" s="20" t="s">
        <v>62</v>
      </c>
      <c r="B55" s="57">
        <v>754</v>
      </c>
      <c r="C55" s="57">
        <v>1971</v>
      </c>
      <c r="D55" s="57">
        <v>67</v>
      </c>
      <c r="E55" s="57">
        <v>49</v>
      </c>
      <c r="F55" s="57">
        <v>1718</v>
      </c>
      <c r="G55" s="57">
        <v>4267</v>
      </c>
      <c r="H55" s="57">
        <v>94</v>
      </c>
      <c r="I55" s="57">
        <v>174</v>
      </c>
      <c r="J55" s="57">
        <v>4024</v>
      </c>
      <c r="K55" s="57">
        <v>278</v>
      </c>
      <c r="L55" s="57">
        <v>208</v>
      </c>
      <c r="M55" s="58">
        <v>433</v>
      </c>
      <c r="N55" s="57">
        <v>18868</v>
      </c>
      <c r="O55" s="57">
        <v>1219</v>
      </c>
      <c r="P55" s="57">
        <v>199</v>
      </c>
      <c r="Q55" s="57"/>
      <c r="R55" s="57">
        <v>1018</v>
      </c>
      <c r="S55" s="60">
        <f t="shared" si="14"/>
        <v>35341</v>
      </c>
      <c r="T55" s="52">
        <f t="shared" si="12"/>
        <v>0.33378258278452178</v>
      </c>
    </row>
    <row r="56" spans="1:20" ht="16.5">
      <c r="A56" s="14" t="s">
        <v>63</v>
      </c>
      <c r="B56" s="57">
        <v>1460</v>
      </c>
      <c r="C56" s="57">
        <v>3568</v>
      </c>
      <c r="D56" s="57">
        <v>174</v>
      </c>
      <c r="E56" s="57">
        <v>330</v>
      </c>
      <c r="F56" s="57">
        <v>6078</v>
      </c>
      <c r="G56" s="57">
        <v>11657</v>
      </c>
      <c r="H56" s="57">
        <v>566</v>
      </c>
      <c r="I56" s="57">
        <v>897</v>
      </c>
      <c r="J56" s="57">
        <v>11775</v>
      </c>
      <c r="K56" s="57">
        <v>581</v>
      </c>
      <c r="L56" s="57">
        <v>1319</v>
      </c>
      <c r="M56" s="58">
        <v>577</v>
      </c>
      <c r="N56" s="57">
        <v>53111</v>
      </c>
      <c r="O56" s="57">
        <v>3441</v>
      </c>
      <c r="P56" s="57">
        <f>156+528</f>
        <v>684</v>
      </c>
      <c r="Q56" s="57"/>
      <c r="R56" s="57">
        <v>2337</v>
      </c>
      <c r="S56" s="60">
        <f t="shared" si="14"/>
        <v>98555</v>
      </c>
      <c r="T56" s="50">
        <f t="shared" si="12"/>
        <v>0.93081526969606243</v>
      </c>
    </row>
    <row r="57" spans="1:20" ht="16.5">
      <c r="A57" s="16" t="s">
        <v>64</v>
      </c>
      <c r="B57" s="62">
        <f>+B56+B55</f>
        <v>2214</v>
      </c>
      <c r="C57" s="62">
        <f>+C56+C55</f>
        <v>5539</v>
      </c>
      <c r="D57" s="62">
        <f>+D56+D55</f>
        <v>241</v>
      </c>
      <c r="E57" s="62">
        <f>SUM(E55:E56)</f>
        <v>379</v>
      </c>
      <c r="F57" s="62">
        <f>SUM(F55:F56)</f>
        <v>7796</v>
      </c>
      <c r="G57" s="62">
        <f>+G56+G55</f>
        <v>15924</v>
      </c>
      <c r="H57" s="62">
        <f t="shared" ref="H57:N57" si="20">SUM(H55:H56)</f>
        <v>660</v>
      </c>
      <c r="I57" s="62">
        <f t="shared" si="20"/>
        <v>1071</v>
      </c>
      <c r="J57" s="62">
        <f t="shared" si="20"/>
        <v>15799</v>
      </c>
      <c r="K57" s="62">
        <f t="shared" si="20"/>
        <v>859</v>
      </c>
      <c r="L57" s="62">
        <f>SUM(L55:L56)</f>
        <v>1527</v>
      </c>
      <c r="M57" s="62">
        <f t="shared" si="20"/>
        <v>1010</v>
      </c>
      <c r="N57" s="62">
        <f t="shared" si="20"/>
        <v>71979</v>
      </c>
      <c r="O57" s="62">
        <f>+O56+O55</f>
        <v>4660</v>
      </c>
      <c r="P57" s="62">
        <f>+P56+P55</f>
        <v>883</v>
      </c>
      <c r="Q57" s="62">
        <f>Q55+Q56</f>
        <v>0</v>
      </c>
      <c r="R57" s="62">
        <f>SUM(R55:R56)</f>
        <v>3355</v>
      </c>
      <c r="S57" s="62">
        <f t="shared" si="14"/>
        <v>133896</v>
      </c>
      <c r="T57" s="51">
        <f t="shared" si="12"/>
        <v>1.2645978524805841</v>
      </c>
    </row>
    <row r="58" spans="1:20" ht="16.5">
      <c r="A58" s="14" t="s">
        <v>66</v>
      </c>
      <c r="B58" s="57">
        <v>31</v>
      </c>
      <c r="C58" s="57">
        <v>43</v>
      </c>
      <c r="D58" s="57">
        <v>0</v>
      </c>
      <c r="E58" s="57">
        <v>0</v>
      </c>
      <c r="F58" s="57">
        <v>0</v>
      </c>
      <c r="G58" s="57">
        <v>441</v>
      </c>
      <c r="H58" s="57">
        <v>0</v>
      </c>
      <c r="I58" s="57">
        <v>1</v>
      </c>
      <c r="J58" s="57">
        <v>0</v>
      </c>
      <c r="K58" s="57">
        <v>0</v>
      </c>
      <c r="L58" s="57">
        <v>26</v>
      </c>
      <c r="M58" s="58">
        <v>34</v>
      </c>
      <c r="N58" s="57">
        <v>0</v>
      </c>
      <c r="O58" s="57">
        <v>29</v>
      </c>
      <c r="P58" s="57">
        <v>0</v>
      </c>
      <c r="Q58" s="57"/>
      <c r="R58" s="57">
        <v>169</v>
      </c>
      <c r="S58" s="60">
        <f t="shared" si="14"/>
        <v>774</v>
      </c>
      <c r="T58" s="50">
        <f t="shared" si="12"/>
        <v>7.3101417355258729E-3</v>
      </c>
    </row>
    <row r="59" spans="1:20" ht="16.5">
      <c r="A59" s="14" t="s">
        <v>67</v>
      </c>
      <c r="B59" s="57">
        <v>0</v>
      </c>
      <c r="C59" s="57">
        <v>0</v>
      </c>
      <c r="D59" s="57">
        <v>0</v>
      </c>
      <c r="E59" s="57">
        <v>0</v>
      </c>
      <c r="F59" s="57">
        <v>0</v>
      </c>
      <c r="G59" s="57">
        <v>983</v>
      </c>
      <c r="H59" s="57">
        <v>0</v>
      </c>
      <c r="I59" s="57">
        <v>0</v>
      </c>
      <c r="J59" s="57">
        <v>17</v>
      </c>
      <c r="K59" s="57">
        <v>0</v>
      </c>
      <c r="L59" s="57">
        <v>0</v>
      </c>
      <c r="M59" s="58">
        <v>0</v>
      </c>
      <c r="N59" s="57">
        <v>0</v>
      </c>
      <c r="O59" s="57">
        <v>0</v>
      </c>
      <c r="P59" s="57">
        <v>42</v>
      </c>
      <c r="Q59" s="57"/>
      <c r="R59" s="57"/>
      <c r="S59" s="60">
        <f t="shared" si="14"/>
        <v>1042</v>
      </c>
      <c r="T59" s="50">
        <f t="shared" si="12"/>
        <v>9.8413019230206185E-3</v>
      </c>
    </row>
    <row r="60" spans="1:20" ht="16.5">
      <c r="A60" s="24" t="s">
        <v>65</v>
      </c>
      <c r="B60" s="57">
        <v>0</v>
      </c>
      <c r="C60" s="57">
        <v>0</v>
      </c>
      <c r="D60" s="57">
        <v>0</v>
      </c>
      <c r="E60" s="57">
        <v>0</v>
      </c>
      <c r="F60" s="57">
        <v>0</v>
      </c>
      <c r="G60" s="57">
        <v>0</v>
      </c>
      <c r="H60" s="57">
        <v>0</v>
      </c>
      <c r="I60" s="57">
        <v>0</v>
      </c>
      <c r="J60" s="57">
        <v>0</v>
      </c>
      <c r="K60" s="57">
        <v>1</v>
      </c>
      <c r="L60" s="57">
        <v>0</v>
      </c>
      <c r="M60" s="58">
        <v>0</v>
      </c>
      <c r="N60" s="57">
        <v>0</v>
      </c>
      <c r="O60" s="57">
        <v>0</v>
      </c>
      <c r="P60" s="57">
        <v>0</v>
      </c>
      <c r="Q60" s="57"/>
      <c r="R60" s="57"/>
      <c r="S60" s="60">
        <f t="shared" si="14"/>
        <v>1</v>
      </c>
      <c r="T60" s="50">
        <f t="shared" si="12"/>
        <v>9.4446275652789043E-6</v>
      </c>
    </row>
    <row r="61" spans="1:20" ht="16.5">
      <c r="A61" s="14" t="s">
        <v>46</v>
      </c>
      <c r="B61" s="57">
        <v>112</v>
      </c>
      <c r="C61" s="57">
        <v>137</v>
      </c>
      <c r="D61" s="57">
        <v>12</v>
      </c>
      <c r="E61" s="57">
        <v>14</v>
      </c>
      <c r="F61" s="57">
        <v>0</v>
      </c>
      <c r="G61" s="57">
        <v>1551</v>
      </c>
      <c r="H61" s="57">
        <v>0</v>
      </c>
      <c r="I61" s="57">
        <v>0</v>
      </c>
      <c r="J61" s="57">
        <v>579</v>
      </c>
      <c r="K61" s="57">
        <v>121</v>
      </c>
      <c r="L61" s="57">
        <v>73</v>
      </c>
      <c r="M61" s="58">
        <v>23</v>
      </c>
      <c r="N61" s="57">
        <v>0</v>
      </c>
      <c r="O61" s="57">
        <v>60</v>
      </c>
      <c r="P61" s="57">
        <v>93</v>
      </c>
      <c r="Q61" s="57"/>
      <c r="R61" s="57"/>
      <c r="S61" s="60">
        <f>SUM(B61:R61)</f>
        <v>2775</v>
      </c>
      <c r="T61" s="50">
        <f t="shared" si="12"/>
        <v>2.6208841493648959E-2</v>
      </c>
    </row>
    <row r="62" spans="1:20" ht="16.5">
      <c r="A62" s="14" t="s">
        <v>68</v>
      </c>
      <c r="B62" s="57">
        <v>3</v>
      </c>
      <c r="C62" s="57">
        <v>43</v>
      </c>
      <c r="D62" s="57">
        <v>1</v>
      </c>
      <c r="E62" s="57">
        <v>1</v>
      </c>
      <c r="F62" s="57">
        <v>0</v>
      </c>
      <c r="G62" s="57">
        <v>180</v>
      </c>
      <c r="H62" s="57">
        <v>0</v>
      </c>
      <c r="I62" s="57">
        <v>0</v>
      </c>
      <c r="J62" s="57">
        <v>88</v>
      </c>
      <c r="K62" s="57">
        <v>25</v>
      </c>
      <c r="L62" s="57">
        <v>0</v>
      </c>
      <c r="M62" s="58">
        <v>0</v>
      </c>
      <c r="N62" s="57">
        <v>0</v>
      </c>
      <c r="O62" s="57">
        <v>3</v>
      </c>
      <c r="P62" s="57">
        <v>1</v>
      </c>
      <c r="Q62" s="57"/>
      <c r="R62" s="57"/>
      <c r="S62" s="60">
        <f t="shared" si="14"/>
        <v>345</v>
      </c>
      <c r="T62" s="50">
        <f t="shared" si="12"/>
        <v>3.2583965100212221E-3</v>
      </c>
    </row>
    <row r="63" spans="1:20" ht="16.5">
      <c r="A63" s="14" t="s">
        <v>76</v>
      </c>
      <c r="B63" s="57">
        <f>2458+2242</f>
        <v>4700</v>
      </c>
      <c r="C63" s="57">
        <v>3262</v>
      </c>
      <c r="D63" s="57">
        <v>3427</v>
      </c>
      <c r="E63" s="57">
        <v>1516</v>
      </c>
      <c r="F63" s="57">
        <v>0</v>
      </c>
      <c r="G63" s="57">
        <v>39714</v>
      </c>
      <c r="H63" s="57">
        <v>598</v>
      </c>
      <c r="I63" s="57">
        <v>863</v>
      </c>
      <c r="J63" s="57">
        <v>6053</v>
      </c>
      <c r="K63" s="57">
        <v>641</v>
      </c>
      <c r="L63" s="57">
        <v>4151</v>
      </c>
      <c r="M63" s="58">
        <v>1508</v>
      </c>
      <c r="N63" s="57">
        <v>0</v>
      </c>
      <c r="O63" s="57">
        <v>3207</v>
      </c>
      <c r="P63" s="57">
        <v>8080</v>
      </c>
      <c r="Q63" s="57">
        <v>20397</v>
      </c>
      <c r="R63" s="57">
        <v>6493</v>
      </c>
      <c r="S63" s="60">
        <f t="shared" si="14"/>
        <v>104610</v>
      </c>
      <c r="T63" s="50">
        <f t="shared" si="12"/>
        <v>0.9880024896038262</v>
      </c>
    </row>
    <row r="64" spans="1:20" ht="16.5">
      <c r="A64" s="83" t="s">
        <v>72</v>
      </c>
      <c r="B64" s="84">
        <f>1+4+1+21+1+1+17+1+13+719+125+1+3</f>
        <v>908</v>
      </c>
      <c r="C64" s="84">
        <f>41+9+13+1+11+75+731+9+8+1+3+746+12+903+37+224</f>
        <v>2824</v>
      </c>
      <c r="D64" s="84">
        <f>1545+733+256+154+74+18+16+15+11+10+9+8+10+4+4+3+3+3+3+6+7</f>
        <v>2892</v>
      </c>
      <c r="E64" s="84">
        <v>2929</v>
      </c>
      <c r="F64" s="84">
        <v>47466</v>
      </c>
      <c r="G64" s="84">
        <v>18117</v>
      </c>
      <c r="H64" s="84">
        <f>2+1+1+1+5</f>
        <v>10</v>
      </c>
      <c r="I64" s="84">
        <v>209</v>
      </c>
      <c r="J64" s="57">
        <v>12309</v>
      </c>
      <c r="K64" s="84">
        <f>17+35+2+3+12+65+3+45+1+3+8</f>
        <v>194</v>
      </c>
      <c r="L64" s="84">
        <f>11+19+3297+14+1054+13+2565+2923+456</f>
        <v>10352</v>
      </c>
      <c r="M64" s="85">
        <v>10</v>
      </c>
      <c r="N64" s="84">
        <f>2206+36347+30600+4096+127</f>
        <v>73376</v>
      </c>
      <c r="O64" s="84">
        <f>1+268+1+28+746+3+2+10+1+2+527+22+1+11+3+22+12</f>
        <v>1660</v>
      </c>
      <c r="P64" s="84">
        <f>4508+2864+1048+166+47+14+7+2+88</f>
        <v>8744</v>
      </c>
      <c r="Q64" s="84">
        <v>19504</v>
      </c>
      <c r="R64" s="84">
        <v>2661</v>
      </c>
      <c r="S64" s="86">
        <f t="shared" si="14"/>
        <v>204165</v>
      </c>
      <c r="T64" s="50">
        <f t="shared" si="12"/>
        <v>1.9282623868651676</v>
      </c>
    </row>
    <row r="65" spans="1:20" ht="16.5">
      <c r="A65" s="87" t="s">
        <v>14</v>
      </c>
      <c r="B65" s="87">
        <f t="shared" ref="B65:R65" si="21">SUM(B13,B14,B15,B18,B22,B32,B43,B46,B50,B54,B57,B58:B64)</f>
        <v>239803</v>
      </c>
      <c r="C65" s="87">
        <f t="shared" si="21"/>
        <v>383123</v>
      </c>
      <c r="D65" s="87">
        <f t="shared" si="21"/>
        <v>185324</v>
      </c>
      <c r="E65" s="87">
        <f t="shared" si="21"/>
        <v>98481</v>
      </c>
      <c r="F65" s="87">
        <f t="shared" si="21"/>
        <v>1659008</v>
      </c>
      <c r="G65" s="87">
        <f t="shared" si="21"/>
        <v>2622132</v>
      </c>
      <c r="H65" s="87">
        <f t="shared" si="21"/>
        <v>100916</v>
      </c>
      <c r="I65" s="87">
        <f t="shared" si="21"/>
        <v>104669</v>
      </c>
      <c r="J65" s="87">
        <f t="shared" si="21"/>
        <v>1458313</v>
      </c>
      <c r="K65" s="87">
        <f t="shared" si="21"/>
        <v>44372</v>
      </c>
      <c r="L65" s="87">
        <f t="shared" si="21"/>
        <v>322831</v>
      </c>
      <c r="M65" s="87">
        <f t="shared" si="21"/>
        <v>146637</v>
      </c>
      <c r="N65" s="87">
        <f t="shared" si="21"/>
        <v>1647181</v>
      </c>
      <c r="O65" s="87">
        <f t="shared" si="21"/>
        <v>859477</v>
      </c>
      <c r="P65" s="87">
        <f t="shared" si="21"/>
        <v>301006</v>
      </c>
      <c r="Q65" s="87">
        <f>SUM(Q13,Q14,Q15,Q18,Q22,Q32,Q43,Q46,Q50,Q54,Q57,Q58:Q64)</f>
        <v>176276</v>
      </c>
      <c r="R65" s="87">
        <f t="shared" si="21"/>
        <v>238481</v>
      </c>
      <c r="S65" s="87">
        <f>SUM(B65:R65)</f>
        <v>10588030</v>
      </c>
      <c r="T65" s="53">
        <f t="shared" si="12"/>
        <v>100</v>
      </c>
    </row>
    <row r="66" spans="1:20" ht="17.25">
      <c r="A66" s="76" t="s">
        <v>92</v>
      </c>
      <c r="B66" s="76" t="s">
        <v>117</v>
      </c>
      <c r="C66" s="77"/>
      <c r="D66" s="77"/>
      <c r="E66" s="77"/>
      <c r="F66" s="77"/>
      <c r="G66" s="77"/>
      <c r="H66" s="77"/>
      <c r="I66" s="77"/>
      <c r="J66" s="38"/>
      <c r="K66" s="77"/>
      <c r="L66" s="77"/>
      <c r="M66" s="77"/>
      <c r="N66" s="77"/>
      <c r="O66" s="77"/>
      <c r="P66" s="77"/>
      <c r="Q66" s="77"/>
      <c r="R66" s="77"/>
      <c r="S66" s="77"/>
      <c r="T66" s="78"/>
    </row>
    <row r="67" spans="1:20" ht="17.25">
      <c r="A67" s="76" t="s">
        <v>94</v>
      </c>
      <c r="B67" s="6"/>
      <c r="C67" s="6"/>
      <c r="D67" s="6"/>
      <c r="E67" s="6"/>
      <c r="F67" s="6"/>
      <c r="G67" s="7"/>
      <c r="H67" s="6"/>
      <c r="I67" s="6"/>
      <c r="J67" s="6"/>
      <c r="K67" s="6"/>
      <c r="L67" s="6"/>
      <c r="M67" s="8"/>
      <c r="N67" s="6"/>
      <c r="O67" s="6"/>
      <c r="P67" s="101">
        <f>P65-301006</f>
        <v>0</v>
      </c>
      <c r="Q67" s="6"/>
      <c r="R67" s="6"/>
      <c r="S67" s="9"/>
      <c r="T67" s="73" t="s">
        <v>73</v>
      </c>
    </row>
    <row r="68" spans="1:20">
      <c r="L68" s="100">
        <f>322831-L65</f>
        <v>0</v>
      </c>
      <c r="M68" s="99"/>
      <c r="Q68" s="100">
        <f>176276-Q65</f>
        <v>0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B7005-54DF-436B-86E7-2CE6021771AE}">
  <dimension ref="A1:T68"/>
  <sheetViews>
    <sheetView zoomScale="90" zoomScaleNormal="90" zoomScalePageLayoutView="80" workbookViewId="0"/>
  </sheetViews>
  <sheetFormatPr defaultColWidth="18" defaultRowHeight="15"/>
  <cols>
    <col min="1" max="1" width="23.42578125" customWidth="1"/>
    <col min="2" max="20" width="12.140625" customWidth="1"/>
    <col min="21" max="21" width="6.42578125" customWidth="1"/>
  </cols>
  <sheetData>
    <row r="1" spans="1:20" ht="16.5">
      <c r="A1" s="2"/>
      <c r="B1" s="1" t="s">
        <v>113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71"/>
    </row>
    <row r="2" spans="1:20" ht="16.5">
      <c r="A2" s="2"/>
      <c r="B2" s="5" t="s">
        <v>114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47"/>
      <c r="T2" s="72"/>
    </row>
    <row r="3" spans="1:20" ht="16.5">
      <c r="A3" s="6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9"/>
      <c r="T3" s="72"/>
    </row>
    <row r="4" spans="1:20" ht="17.25">
      <c r="A4" s="80" t="s">
        <v>0</v>
      </c>
      <c r="B4" s="81" t="s">
        <v>1</v>
      </c>
      <c r="C4" s="81" t="s">
        <v>2</v>
      </c>
      <c r="D4" s="81" t="s">
        <v>82</v>
      </c>
      <c r="E4" s="81" t="s">
        <v>79</v>
      </c>
      <c r="F4" s="81" t="s">
        <v>3</v>
      </c>
      <c r="G4" s="81" t="s">
        <v>80</v>
      </c>
      <c r="H4" s="81" t="s">
        <v>4</v>
      </c>
      <c r="I4" s="81" t="s">
        <v>5</v>
      </c>
      <c r="J4" s="81" t="s">
        <v>81</v>
      </c>
      <c r="K4" s="81" t="s">
        <v>6</v>
      </c>
      <c r="L4" s="81" t="s">
        <v>7</v>
      </c>
      <c r="M4" s="81" t="s">
        <v>8</v>
      </c>
      <c r="N4" s="81" t="s">
        <v>9</v>
      </c>
      <c r="O4" s="81" t="s">
        <v>10</v>
      </c>
      <c r="P4" s="81" t="s">
        <v>11</v>
      </c>
      <c r="Q4" s="81" t="s">
        <v>12</v>
      </c>
      <c r="R4" s="81" t="s">
        <v>13</v>
      </c>
      <c r="S4" s="81" t="s">
        <v>85</v>
      </c>
      <c r="T4" s="81" t="s">
        <v>15</v>
      </c>
    </row>
    <row r="5" spans="1:20" ht="16.5">
      <c r="A5" s="12" t="s">
        <v>16</v>
      </c>
      <c r="B5" s="96">
        <v>10985</v>
      </c>
      <c r="C5" s="54">
        <v>28053</v>
      </c>
      <c r="D5" s="54">
        <v>8031</v>
      </c>
      <c r="E5" s="54">
        <v>3466</v>
      </c>
      <c r="F5" s="96">
        <v>45360</v>
      </c>
      <c r="G5" s="96">
        <v>213934</v>
      </c>
      <c r="H5" s="96">
        <v>2697</v>
      </c>
      <c r="I5" s="96">
        <v>3665</v>
      </c>
      <c r="J5" s="54">
        <v>49844</v>
      </c>
      <c r="K5" s="54">
        <v>3598</v>
      </c>
      <c r="L5" s="54">
        <v>12938</v>
      </c>
      <c r="M5" s="55">
        <v>3020</v>
      </c>
      <c r="N5" s="54">
        <v>107842</v>
      </c>
      <c r="O5" s="54">
        <v>37287</v>
      </c>
      <c r="P5" s="54">
        <v>18051</v>
      </c>
      <c r="Q5" s="54">
        <v>10269</v>
      </c>
      <c r="R5" s="54">
        <v>14862</v>
      </c>
      <c r="S5" s="56">
        <f>SUM(B5:R5)</f>
        <v>573902</v>
      </c>
      <c r="T5" s="49">
        <f t="shared" ref="T5:T36" si="0">S5/S$65*100</f>
        <v>5.3236486986650942</v>
      </c>
    </row>
    <row r="6" spans="1:20" ht="16.5">
      <c r="A6" s="14" t="s">
        <v>77</v>
      </c>
      <c r="B6" s="94">
        <v>32</v>
      </c>
      <c r="C6" s="57">
        <v>100</v>
      </c>
      <c r="D6" s="57">
        <v>1</v>
      </c>
      <c r="E6" s="57">
        <v>0</v>
      </c>
      <c r="F6" s="94">
        <v>76</v>
      </c>
      <c r="G6" s="94">
        <v>681</v>
      </c>
      <c r="H6" s="94">
        <v>4</v>
      </c>
      <c r="I6" s="94">
        <v>0</v>
      </c>
      <c r="J6" s="57">
        <v>43</v>
      </c>
      <c r="K6" s="57">
        <v>33</v>
      </c>
      <c r="L6" s="57">
        <v>82</v>
      </c>
      <c r="M6" s="58">
        <v>21</v>
      </c>
      <c r="N6" s="57">
        <v>1337</v>
      </c>
      <c r="O6" s="57">
        <v>59</v>
      </c>
      <c r="P6" s="57">
        <v>31</v>
      </c>
      <c r="Q6" s="57"/>
      <c r="R6" s="57">
        <v>0</v>
      </c>
      <c r="S6" s="60">
        <f t="shared" ref="S6:S12" si="1">SUM(B6:R6)</f>
        <v>2500</v>
      </c>
      <c r="T6" s="50">
        <f t="shared" si="0"/>
        <v>2.3190582619790026E-2</v>
      </c>
    </row>
    <row r="7" spans="1:20" ht="16.5">
      <c r="A7" s="14" t="s">
        <v>118</v>
      </c>
      <c r="B7" s="94"/>
      <c r="C7" s="57"/>
      <c r="D7" s="57"/>
      <c r="E7" s="57">
        <v>19</v>
      </c>
      <c r="F7" s="94">
        <v>236</v>
      </c>
      <c r="G7" s="94"/>
      <c r="H7" s="94"/>
      <c r="I7" s="97"/>
      <c r="J7" s="57">
        <v>208</v>
      </c>
      <c r="K7" s="57"/>
      <c r="L7" s="57"/>
      <c r="M7" s="58"/>
      <c r="N7" s="57">
        <v>162</v>
      </c>
      <c r="O7" s="57"/>
      <c r="P7" s="57"/>
      <c r="Q7" s="57"/>
      <c r="R7" s="57"/>
      <c r="S7" s="60">
        <f t="shared" ref="S7" si="2">SUM(B7:R7)</f>
        <v>625</v>
      </c>
      <c r="T7" s="50">
        <f t="shared" si="0"/>
        <v>5.7976456549475065E-3</v>
      </c>
    </row>
    <row r="8" spans="1:20" ht="16.5">
      <c r="A8" s="14" t="s">
        <v>18</v>
      </c>
      <c r="B8" s="94">
        <v>41</v>
      </c>
      <c r="C8" s="57">
        <v>40</v>
      </c>
      <c r="D8" s="57">
        <v>4</v>
      </c>
      <c r="E8" s="57">
        <v>0</v>
      </c>
      <c r="F8" s="94">
        <v>81</v>
      </c>
      <c r="G8" s="94">
        <v>729</v>
      </c>
      <c r="H8" s="94">
        <v>0</v>
      </c>
      <c r="I8" s="97">
        <v>0</v>
      </c>
      <c r="J8" s="57">
        <v>270</v>
      </c>
      <c r="K8" s="57">
        <v>39</v>
      </c>
      <c r="L8" s="57">
        <v>35</v>
      </c>
      <c r="M8" s="58">
        <v>15</v>
      </c>
      <c r="N8" s="57">
        <v>0</v>
      </c>
      <c r="O8" s="57">
        <v>30</v>
      </c>
      <c r="P8" s="57">
        <v>35</v>
      </c>
      <c r="Q8" s="57"/>
      <c r="R8" s="57">
        <v>0</v>
      </c>
      <c r="S8" s="60">
        <f t="shared" si="1"/>
        <v>1319</v>
      </c>
      <c r="T8" s="50">
        <f t="shared" si="0"/>
        <v>1.2235351390201219E-2</v>
      </c>
    </row>
    <row r="9" spans="1:20" ht="16.5">
      <c r="A9" s="14" t="s">
        <v>69</v>
      </c>
      <c r="B9" s="94">
        <v>1379</v>
      </c>
      <c r="C9" s="57">
        <v>2846</v>
      </c>
      <c r="D9" s="57">
        <v>421</v>
      </c>
      <c r="E9" s="57">
        <v>313</v>
      </c>
      <c r="F9" s="94">
        <v>4878</v>
      </c>
      <c r="G9" s="94">
        <v>26319</v>
      </c>
      <c r="H9" s="94">
        <v>106</v>
      </c>
      <c r="I9" s="94">
        <v>110</v>
      </c>
      <c r="J9" s="57">
        <v>5697</v>
      </c>
      <c r="K9" s="57">
        <v>868</v>
      </c>
      <c r="L9" s="57">
        <v>1832</v>
      </c>
      <c r="M9" s="58">
        <v>831</v>
      </c>
      <c r="N9" s="57">
        <v>14284</v>
      </c>
      <c r="O9" s="57">
        <v>2167</v>
      </c>
      <c r="P9" s="57">
        <v>2366</v>
      </c>
      <c r="Q9" s="57"/>
      <c r="R9" s="57">
        <v>3809</v>
      </c>
      <c r="S9" s="60">
        <f t="shared" si="1"/>
        <v>68226</v>
      </c>
      <c r="T9" s="50">
        <f t="shared" si="0"/>
        <v>0.63288027592711782</v>
      </c>
    </row>
    <row r="10" spans="1:20" ht="16.5">
      <c r="A10" s="14" t="s">
        <v>19</v>
      </c>
      <c r="B10" s="94">
        <v>15893</v>
      </c>
      <c r="C10" s="57">
        <v>8356</v>
      </c>
      <c r="D10" s="57">
        <v>4494</v>
      </c>
      <c r="E10" s="57">
        <v>1629</v>
      </c>
      <c r="F10" s="94">
        <v>26676</v>
      </c>
      <c r="G10" s="94">
        <v>114564</v>
      </c>
      <c r="H10" s="94">
        <v>1621</v>
      </c>
      <c r="I10" s="94">
        <v>3352</v>
      </c>
      <c r="J10" s="57">
        <v>22118</v>
      </c>
      <c r="K10" s="57">
        <v>1054</v>
      </c>
      <c r="L10" s="57">
        <v>9095</v>
      </c>
      <c r="M10" s="58">
        <v>7056</v>
      </c>
      <c r="N10" s="57">
        <v>45419</v>
      </c>
      <c r="O10" s="57">
        <v>68721</v>
      </c>
      <c r="P10" s="57">
        <v>8214</v>
      </c>
      <c r="Q10" s="57"/>
      <c r="R10" s="57">
        <v>10911</v>
      </c>
      <c r="S10" s="60">
        <f t="shared" si="1"/>
        <v>349173</v>
      </c>
      <c r="T10" s="50">
        <f t="shared" si="0"/>
        <v>3.2390101220399772</v>
      </c>
    </row>
    <row r="11" spans="1:20" ht="16.5">
      <c r="A11" s="14" t="s">
        <v>20</v>
      </c>
      <c r="B11" s="94">
        <v>23602</v>
      </c>
      <c r="C11" s="57">
        <v>20305</v>
      </c>
      <c r="D11" s="57">
        <v>11767</v>
      </c>
      <c r="E11" s="57">
        <v>9696</v>
      </c>
      <c r="F11" s="94">
        <v>29875</v>
      </c>
      <c r="G11" s="94">
        <v>181198</v>
      </c>
      <c r="H11" s="94">
        <v>3216</v>
      </c>
      <c r="I11" s="94">
        <v>7418</v>
      </c>
      <c r="J11" s="57">
        <v>24664</v>
      </c>
      <c r="K11" s="57">
        <v>2744</v>
      </c>
      <c r="L11" s="57">
        <v>16597</v>
      </c>
      <c r="M11" s="58">
        <v>1298</v>
      </c>
      <c r="N11" s="57">
        <v>58693</v>
      </c>
      <c r="O11" s="57">
        <v>22667</v>
      </c>
      <c r="P11" s="57">
        <v>14396</v>
      </c>
      <c r="Q11" s="57">
        <v>7204</v>
      </c>
      <c r="R11" s="57">
        <v>18757</v>
      </c>
      <c r="S11" s="60">
        <f t="shared" si="1"/>
        <v>454097</v>
      </c>
      <c r="T11" s="50">
        <f t="shared" si="0"/>
        <v>4.2123095983595169</v>
      </c>
    </row>
    <row r="12" spans="1:20" ht="16.5">
      <c r="A12" s="14" t="s">
        <v>21</v>
      </c>
      <c r="B12" s="94">
        <v>38272</v>
      </c>
      <c r="C12" s="57">
        <v>39861</v>
      </c>
      <c r="D12" s="57">
        <v>24768</v>
      </c>
      <c r="E12" s="57">
        <v>9942</v>
      </c>
      <c r="F12" s="94">
        <v>97784</v>
      </c>
      <c r="G12" s="94">
        <v>525612</v>
      </c>
      <c r="H12" s="94">
        <v>6890</v>
      </c>
      <c r="I12" s="94">
        <v>10691</v>
      </c>
      <c r="J12" s="57">
        <v>128188</v>
      </c>
      <c r="K12" s="57">
        <v>5115</v>
      </c>
      <c r="L12" s="57">
        <v>44670</v>
      </c>
      <c r="M12" s="58">
        <v>6972</v>
      </c>
      <c r="N12" s="57">
        <v>148338</v>
      </c>
      <c r="O12" s="57">
        <v>66817</v>
      </c>
      <c r="P12" s="57">
        <v>42809</v>
      </c>
      <c r="Q12" s="57">
        <v>19273</v>
      </c>
      <c r="R12" s="57">
        <v>26417</v>
      </c>
      <c r="S12" s="60">
        <f t="shared" si="1"/>
        <v>1242419</v>
      </c>
      <c r="T12" s="50">
        <f t="shared" si="0"/>
        <v>11.524968187158763</v>
      </c>
    </row>
    <row r="13" spans="1:20" ht="16.5">
      <c r="A13" s="16" t="s">
        <v>23</v>
      </c>
      <c r="B13" s="62">
        <f t="shared" ref="B13:R13" si="3">SUM(B5:B12)</f>
        <v>90204</v>
      </c>
      <c r="C13" s="62">
        <f t="shared" si="3"/>
        <v>99561</v>
      </c>
      <c r="D13" s="62">
        <f t="shared" si="3"/>
        <v>49486</v>
      </c>
      <c r="E13" s="62">
        <f t="shared" si="3"/>
        <v>25065</v>
      </c>
      <c r="F13" s="62">
        <f t="shared" si="3"/>
        <v>204966</v>
      </c>
      <c r="G13" s="62">
        <f t="shared" si="3"/>
        <v>1063037</v>
      </c>
      <c r="H13" s="62">
        <f t="shared" si="3"/>
        <v>14534</v>
      </c>
      <c r="I13" s="62">
        <f t="shared" si="3"/>
        <v>25236</v>
      </c>
      <c r="J13" s="62">
        <f t="shared" si="3"/>
        <v>231032</v>
      </c>
      <c r="K13" s="62">
        <f t="shared" si="3"/>
        <v>13451</v>
      </c>
      <c r="L13" s="62">
        <f t="shared" si="3"/>
        <v>85249</v>
      </c>
      <c r="M13" s="62">
        <f t="shared" si="3"/>
        <v>19213</v>
      </c>
      <c r="N13" s="62">
        <f t="shared" si="3"/>
        <v>376075</v>
      </c>
      <c r="O13" s="62">
        <f t="shared" si="3"/>
        <v>197748</v>
      </c>
      <c r="P13" s="62">
        <f t="shared" si="3"/>
        <v>85902</v>
      </c>
      <c r="Q13" s="62">
        <f t="shared" si="3"/>
        <v>36746</v>
      </c>
      <c r="R13" s="62">
        <f t="shared" si="3"/>
        <v>74756</v>
      </c>
      <c r="S13" s="62">
        <f t="shared" ref="S13:S42" si="4">SUM(B13:R13)</f>
        <v>2692261</v>
      </c>
      <c r="T13" s="51">
        <f t="shared" si="0"/>
        <v>24.974040461815409</v>
      </c>
    </row>
    <row r="14" spans="1:20" ht="16.5">
      <c r="A14" s="16" t="s">
        <v>27</v>
      </c>
      <c r="B14" s="62">
        <v>14019</v>
      </c>
      <c r="C14" s="62">
        <v>18002</v>
      </c>
      <c r="D14" s="62">
        <v>13582</v>
      </c>
      <c r="E14" s="62">
        <v>5960</v>
      </c>
      <c r="F14" s="62">
        <v>55219</v>
      </c>
      <c r="G14" s="62">
        <v>194250</v>
      </c>
      <c r="H14" s="62">
        <v>2794</v>
      </c>
      <c r="I14" s="62">
        <v>6792</v>
      </c>
      <c r="J14" s="62">
        <v>89591</v>
      </c>
      <c r="K14" s="62">
        <f>94+653+1201</f>
        <v>1948</v>
      </c>
      <c r="L14" s="62">
        <v>19381</v>
      </c>
      <c r="M14" s="62">
        <v>6550</v>
      </c>
      <c r="N14" s="62">
        <v>152777</v>
      </c>
      <c r="O14" s="62">
        <v>34776</v>
      </c>
      <c r="P14" s="62">
        <v>5899</v>
      </c>
      <c r="Q14" s="62">
        <v>3248</v>
      </c>
      <c r="R14" s="62">
        <v>9778</v>
      </c>
      <c r="S14" s="62">
        <f t="shared" si="4"/>
        <v>634566</v>
      </c>
      <c r="T14" s="51">
        <f t="shared" si="0"/>
        <v>5.8863821002838712</v>
      </c>
    </row>
    <row r="15" spans="1:20" ht="16.5">
      <c r="A15" s="16" t="s">
        <v>28</v>
      </c>
      <c r="B15" s="62">
        <v>3361</v>
      </c>
      <c r="C15" s="62">
        <v>16153</v>
      </c>
      <c r="D15" s="62">
        <v>4950</v>
      </c>
      <c r="E15" s="62">
        <v>7683</v>
      </c>
      <c r="F15" s="62">
        <v>16412</v>
      </c>
      <c r="G15" s="62">
        <v>47194</v>
      </c>
      <c r="H15" s="62">
        <v>1476</v>
      </c>
      <c r="I15" s="62">
        <v>1184</v>
      </c>
      <c r="J15" s="62">
        <v>17060</v>
      </c>
      <c r="K15" s="62">
        <v>1503</v>
      </c>
      <c r="L15" s="62">
        <v>16174</v>
      </c>
      <c r="M15" s="62">
        <v>4074</v>
      </c>
      <c r="N15" s="62">
        <v>46408</v>
      </c>
      <c r="O15" s="62">
        <v>14325</v>
      </c>
      <c r="P15" s="62">
        <v>52691</v>
      </c>
      <c r="Q15" s="62">
        <v>9412</v>
      </c>
      <c r="R15" s="62">
        <v>8437</v>
      </c>
      <c r="S15" s="62">
        <f t="shared" si="4"/>
        <v>268497</v>
      </c>
      <c r="T15" s="51">
        <f t="shared" si="0"/>
        <v>2.490640744666305</v>
      </c>
    </row>
    <row r="16" spans="1:20" ht="16.5">
      <c r="A16" s="39" t="s">
        <v>75</v>
      </c>
      <c r="B16" s="57">
        <v>0</v>
      </c>
      <c r="C16" s="57">
        <v>0</v>
      </c>
      <c r="D16" s="57">
        <v>0</v>
      </c>
      <c r="E16" s="57">
        <v>0</v>
      </c>
      <c r="F16" s="57">
        <v>0</v>
      </c>
      <c r="G16" s="94">
        <v>42</v>
      </c>
      <c r="H16" s="57">
        <v>0</v>
      </c>
      <c r="I16" s="57">
        <v>0</v>
      </c>
      <c r="J16" s="57">
        <v>0</v>
      </c>
      <c r="K16" s="57">
        <v>12</v>
      </c>
      <c r="L16" s="57">
        <v>0</v>
      </c>
      <c r="M16" s="58"/>
      <c r="N16" s="57">
        <v>0</v>
      </c>
      <c r="O16" s="57">
        <v>0</v>
      </c>
      <c r="P16" s="57">
        <v>0</v>
      </c>
      <c r="Q16" s="57"/>
      <c r="R16" s="57">
        <v>0</v>
      </c>
      <c r="S16" s="64">
        <f t="shared" si="4"/>
        <v>54</v>
      </c>
      <c r="T16" s="52">
        <f t="shared" si="0"/>
        <v>5.009165845874646E-4</v>
      </c>
    </row>
    <row r="17" spans="1:20" ht="16.5">
      <c r="A17" s="14" t="s">
        <v>29</v>
      </c>
      <c r="B17" s="94">
        <v>1</v>
      </c>
      <c r="C17" s="57">
        <v>0</v>
      </c>
      <c r="D17" s="57">
        <v>0</v>
      </c>
      <c r="E17" s="57">
        <v>0</v>
      </c>
      <c r="F17" s="57">
        <v>0</v>
      </c>
      <c r="G17" s="57">
        <v>0</v>
      </c>
      <c r="H17" s="94">
        <v>2</v>
      </c>
      <c r="I17" s="57">
        <v>0</v>
      </c>
      <c r="J17" s="57">
        <v>0</v>
      </c>
      <c r="K17" s="57">
        <v>4</v>
      </c>
      <c r="L17" s="57">
        <v>0</v>
      </c>
      <c r="M17" s="58"/>
      <c r="N17" s="57">
        <v>0</v>
      </c>
      <c r="O17" s="57">
        <v>0</v>
      </c>
      <c r="P17" s="57">
        <v>16</v>
      </c>
      <c r="Q17" s="57"/>
      <c r="R17" s="57">
        <v>0</v>
      </c>
      <c r="S17" s="60">
        <f t="shared" si="4"/>
        <v>23</v>
      </c>
      <c r="T17" s="50">
        <f t="shared" si="0"/>
        <v>2.1335336010206826E-4</v>
      </c>
    </row>
    <row r="18" spans="1:20" ht="16.5">
      <c r="A18" s="16" t="s">
        <v>31</v>
      </c>
      <c r="B18" s="62">
        <f t="shared" ref="B18:R18" si="5">SUM(B16:B17)</f>
        <v>1</v>
      </c>
      <c r="C18" s="62">
        <f t="shared" si="5"/>
        <v>0</v>
      </c>
      <c r="D18" s="62">
        <f t="shared" si="5"/>
        <v>0</v>
      </c>
      <c r="E18" s="62">
        <f t="shared" si="5"/>
        <v>0</v>
      </c>
      <c r="F18" s="62">
        <f t="shared" si="5"/>
        <v>0</v>
      </c>
      <c r="G18" s="62">
        <f t="shared" si="5"/>
        <v>42</v>
      </c>
      <c r="H18" s="62">
        <f t="shared" si="5"/>
        <v>2</v>
      </c>
      <c r="I18" s="62">
        <f t="shared" si="5"/>
        <v>0</v>
      </c>
      <c r="J18" s="62">
        <f t="shared" si="5"/>
        <v>0</v>
      </c>
      <c r="K18" s="62">
        <f t="shared" si="5"/>
        <v>16</v>
      </c>
      <c r="L18" s="62">
        <f t="shared" si="5"/>
        <v>0</v>
      </c>
      <c r="M18" s="62">
        <f t="shared" si="5"/>
        <v>0</v>
      </c>
      <c r="N18" s="62">
        <f t="shared" si="5"/>
        <v>0</v>
      </c>
      <c r="O18" s="62">
        <f t="shared" si="5"/>
        <v>0</v>
      </c>
      <c r="P18" s="62">
        <f t="shared" ref="P18" si="6">SUM(P16:P17)</f>
        <v>16</v>
      </c>
      <c r="Q18" s="62">
        <f t="shared" si="5"/>
        <v>0</v>
      </c>
      <c r="R18" s="62">
        <f t="shared" si="5"/>
        <v>0</v>
      </c>
      <c r="S18" s="62">
        <f t="shared" si="4"/>
        <v>77</v>
      </c>
      <c r="T18" s="51">
        <f t="shared" si="0"/>
        <v>7.1426994468953289E-4</v>
      </c>
    </row>
    <row r="19" spans="1:20" ht="16.5">
      <c r="A19" s="14" t="s">
        <v>32</v>
      </c>
      <c r="B19" s="94">
        <v>6843</v>
      </c>
      <c r="C19" s="57">
        <v>17756</v>
      </c>
      <c r="D19" s="57">
        <v>1394</v>
      </c>
      <c r="E19" s="57">
        <v>836</v>
      </c>
      <c r="F19" s="94">
        <v>97170</v>
      </c>
      <c r="G19" s="94">
        <v>50704</v>
      </c>
      <c r="H19" s="94">
        <v>1634</v>
      </c>
      <c r="I19" s="94">
        <v>1874</v>
      </c>
      <c r="J19" s="57">
        <v>53415</v>
      </c>
      <c r="K19" s="57">
        <v>951</v>
      </c>
      <c r="L19" s="57">
        <v>2038</v>
      </c>
      <c r="M19" s="58">
        <v>4636</v>
      </c>
      <c r="N19" s="57">
        <v>18918</v>
      </c>
      <c r="O19" s="57">
        <v>39395</v>
      </c>
      <c r="P19" s="57">
        <v>1715</v>
      </c>
      <c r="Q19" s="57"/>
      <c r="R19" s="57">
        <v>6110</v>
      </c>
      <c r="S19" s="60">
        <f t="shared" si="4"/>
        <v>305389</v>
      </c>
      <c r="T19" s="50">
        <f t="shared" si="0"/>
        <v>2.8328595342700229</v>
      </c>
    </row>
    <row r="20" spans="1:20" ht="16.5">
      <c r="A20" s="14" t="s">
        <v>33</v>
      </c>
      <c r="B20" s="94">
        <v>13510</v>
      </c>
      <c r="C20" s="57">
        <v>31895</v>
      </c>
      <c r="D20" s="57">
        <v>9773</v>
      </c>
      <c r="E20" s="57">
        <v>2327</v>
      </c>
      <c r="F20" s="94">
        <v>314630</v>
      </c>
      <c r="G20" s="94">
        <v>125318</v>
      </c>
      <c r="H20" s="94">
        <v>3251</v>
      </c>
      <c r="I20" s="94">
        <v>4067</v>
      </c>
      <c r="J20" s="57">
        <v>85908</v>
      </c>
      <c r="K20" s="57">
        <v>2673</v>
      </c>
      <c r="L20" s="57">
        <v>20335</v>
      </c>
      <c r="M20" s="58">
        <v>18613</v>
      </c>
      <c r="N20" s="57">
        <v>42740</v>
      </c>
      <c r="O20" s="57">
        <v>56138</v>
      </c>
      <c r="P20" s="57">
        <v>8095</v>
      </c>
      <c r="Q20" s="57">
        <v>2702</v>
      </c>
      <c r="R20" s="57">
        <v>11072</v>
      </c>
      <c r="S20" s="60">
        <f t="shared" ref="S20" si="7">SUM(B20:R20)</f>
        <v>753047</v>
      </c>
      <c r="T20" s="50">
        <f t="shared" si="0"/>
        <v>6.9854394680340075</v>
      </c>
    </row>
    <row r="21" spans="1:20" ht="16.5">
      <c r="A21" s="20" t="s">
        <v>110</v>
      </c>
      <c r="B21" s="57">
        <v>0</v>
      </c>
      <c r="C21" s="57">
        <v>89</v>
      </c>
      <c r="D21" s="57">
        <v>0</v>
      </c>
      <c r="E21" s="57">
        <v>0</v>
      </c>
      <c r="F21" s="94">
        <v>744</v>
      </c>
      <c r="G21" s="94">
        <v>166</v>
      </c>
      <c r="H21" s="57">
        <v>0</v>
      </c>
      <c r="I21" s="94">
        <v>0</v>
      </c>
      <c r="J21" s="57">
        <v>19</v>
      </c>
      <c r="K21" s="57">
        <v>24</v>
      </c>
      <c r="L21" s="57">
        <v>26</v>
      </c>
      <c r="M21" s="57">
        <v>6</v>
      </c>
      <c r="N21" s="57">
        <v>105</v>
      </c>
      <c r="O21" s="57">
        <v>14</v>
      </c>
      <c r="P21" s="57">
        <v>9</v>
      </c>
      <c r="Q21" s="57"/>
      <c r="R21" s="57">
        <v>70</v>
      </c>
      <c r="S21" s="60">
        <f t="shared" si="4"/>
        <v>1272</v>
      </c>
      <c r="T21" s="50">
        <f t="shared" si="0"/>
        <v>1.1799368436949165E-2</v>
      </c>
    </row>
    <row r="22" spans="1:20" ht="16.5">
      <c r="A22" s="16" t="s">
        <v>34</v>
      </c>
      <c r="B22" s="62">
        <f t="shared" ref="B22:Q22" si="8">+B21+B19+B20</f>
        <v>20353</v>
      </c>
      <c r="C22" s="62">
        <f t="shared" si="8"/>
        <v>49740</v>
      </c>
      <c r="D22" s="62">
        <f t="shared" si="8"/>
        <v>11167</v>
      </c>
      <c r="E22" s="62">
        <f t="shared" si="8"/>
        <v>3163</v>
      </c>
      <c r="F22" s="62">
        <f t="shared" si="8"/>
        <v>412544</v>
      </c>
      <c r="G22" s="62">
        <f t="shared" si="8"/>
        <v>176188</v>
      </c>
      <c r="H22" s="62">
        <f t="shared" si="8"/>
        <v>4885</v>
      </c>
      <c r="I22" s="62">
        <f t="shared" si="8"/>
        <v>5941</v>
      </c>
      <c r="J22" s="62">
        <f t="shared" si="8"/>
        <v>139342</v>
      </c>
      <c r="K22" s="62">
        <f t="shared" si="8"/>
        <v>3648</v>
      </c>
      <c r="L22" s="62">
        <f t="shared" si="8"/>
        <v>22399</v>
      </c>
      <c r="M22" s="62">
        <f t="shared" si="8"/>
        <v>23255</v>
      </c>
      <c r="N22" s="62">
        <f t="shared" si="8"/>
        <v>61763</v>
      </c>
      <c r="O22" s="62">
        <f t="shared" si="8"/>
        <v>95547</v>
      </c>
      <c r="P22" s="62">
        <f t="shared" ref="P22" si="9">+P21+P19+P20</f>
        <v>9819</v>
      </c>
      <c r="Q22" s="62">
        <f t="shared" si="8"/>
        <v>2702</v>
      </c>
      <c r="R22" s="62">
        <f>+R21+R19+R20</f>
        <v>17252</v>
      </c>
      <c r="S22" s="62">
        <f t="shared" si="4"/>
        <v>1059708</v>
      </c>
      <c r="T22" s="51">
        <f t="shared" si="0"/>
        <v>9.8300983707409806</v>
      </c>
    </row>
    <row r="23" spans="1:20" ht="16.5">
      <c r="A23" s="14" t="s">
        <v>36</v>
      </c>
      <c r="B23" s="94">
        <v>1427</v>
      </c>
      <c r="C23" s="57">
        <v>1962</v>
      </c>
      <c r="D23" s="57">
        <v>698</v>
      </c>
      <c r="E23" s="57">
        <v>626</v>
      </c>
      <c r="F23" s="94">
        <v>0</v>
      </c>
      <c r="G23" s="94">
        <v>11696</v>
      </c>
      <c r="H23" s="94">
        <v>401</v>
      </c>
      <c r="I23" s="94">
        <v>854</v>
      </c>
      <c r="J23" s="57">
        <v>6706</v>
      </c>
      <c r="K23" s="57">
        <v>227</v>
      </c>
      <c r="L23" s="57">
        <v>1255</v>
      </c>
      <c r="M23" s="58">
        <v>1024</v>
      </c>
      <c r="N23" s="57">
        <v>27297</v>
      </c>
      <c r="O23" s="57">
        <v>4262</v>
      </c>
      <c r="P23" s="57">
        <v>1482</v>
      </c>
      <c r="Q23" s="57"/>
      <c r="R23" s="57">
        <v>2101</v>
      </c>
      <c r="S23" s="60">
        <f t="shared" si="4"/>
        <v>62018</v>
      </c>
      <c r="T23" s="50">
        <f t="shared" si="0"/>
        <v>0.57529342116565507</v>
      </c>
    </row>
    <row r="24" spans="1:20" ht="16.5">
      <c r="A24" s="14" t="s">
        <v>90</v>
      </c>
      <c r="B24" s="94">
        <v>4</v>
      </c>
      <c r="C24" s="57">
        <v>11</v>
      </c>
      <c r="D24" s="57">
        <v>0</v>
      </c>
      <c r="E24" s="57">
        <v>0</v>
      </c>
      <c r="F24" s="94">
        <v>1</v>
      </c>
      <c r="G24" s="94">
        <v>81</v>
      </c>
      <c r="H24" s="57">
        <v>0</v>
      </c>
      <c r="I24" s="94">
        <v>0</v>
      </c>
      <c r="J24" s="57">
        <v>0</v>
      </c>
      <c r="K24" s="57">
        <v>0</v>
      </c>
      <c r="L24" s="57">
        <v>0</v>
      </c>
      <c r="M24" s="58">
        <v>0</v>
      </c>
      <c r="N24" s="57">
        <v>0</v>
      </c>
      <c r="O24" s="57">
        <v>48</v>
      </c>
      <c r="P24" s="57">
        <v>0</v>
      </c>
      <c r="Q24" s="57"/>
      <c r="R24" s="57">
        <v>0</v>
      </c>
      <c r="S24" s="60">
        <f t="shared" si="4"/>
        <v>145</v>
      </c>
      <c r="T24" s="50">
        <f t="shared" si="0"/>
        <v>1.3450537919478215E-3</v>
      </c>
    </row>
    <row r="25" spans="1:20" ht="16.5">
      <c r="A25" s="14" t="s">
        <v>37</v>
      </c>
      <c r="B25" s="94">
        <v>220</v>
      </c>
      <c r="C25" s="57">
        <v>960</v>
      </c>
      <c r="D25" s="57">
        <v>17</v>
      </c>
      <c r="E25" s="57">
        <v>289</v>
      </c>
      <c r="F25" s="94">
        <v>5913</v>
      </c>
      <c r="G25" s="94">
        <v>3530</v>
      </c>
      <c r="H25" s="94">
        <v>88</v>
      </c>
      <c r="I25" s="94">
        <v>417</v>
      </c>
      <c r="J25" s="57">
        <v>4044</v>
      </c>
      <c r="K25" s="57">
        <v>77</v>
      </c>
      <c r="L25" s="57">
        <v>916</v>
      </c>
      <c r="M25" s="58">
        <v>314</v>
      </c>
      <c r="N25" s="57">
        <v>13727</v>
      </c>
      <c r="O25" s="57">
        <v>7374</v>
      </c>
      <c r="P25" s="57">
        <v>1316</v>
      </c>
      <c r="Q25" s="57"/>
      <c r="R25" s="57">
        <v>564</v>
      </c>
      <c r="S25" s="60">
        <f t="shared" si="4"/>
        <v>39766</v>
      </c>
      <c r="T25" s="50">
        <f t="shared" si="0"/>
        <v>0.36887868338342811</v>
      </c>
    </row>
    <row r="26" spans="1:20" ht="16.5">
      <c r="A26" s="14" t="s">
        <v>38</v>
      </c>
      <c r="B26" s="94">
        <v>6876</v>
      </c>
      <c r="C26" s="57">
        <v>5573</v>
      </c>
      <c r="D26" s="57">
        <v>2240</v>
      </c>
      <c r="E26" s="57">
        <v>948</v>
      </c>
      <c r="F26" s="94">
        <v>0</v>
      </c>
      <c r="G26" s="94">
        <v>44346</v>
      </c>
      <c r="H26" s="94">
        <v>212</v>
      </c>
      <c r="I26" s="94">
        <v>1257</v>
      </c>
      <c r="J26" s="57">
        <v>10098</v>
      </c>
      <c r="K26" s="57">
        <v>418</v>
      </c>
      <c r="L26" s="57">
        <v>7094</v>
      </c>
      <c r="M26" s="58">
        <v>1100</v>
      </c>
      <c r="N26" s="57">
        <v>22742</v>
      </c>
      <c r="O26" s="57">
        <v>14253</v>
      </c>
      <c r="P26" s="57">
        <v>1928</v>
      </c>
      <c r="Q26" s="57">
        <v>2926</v>
      </c>
      <c r="R26" s="57">
        <v>4714</v>
      </c>
      <c r="S26" s="60">
        <f t="shared" si="4"/>
        <v>126725</v>
      </c>
      <c r="T26" s="50">
        <f t="shared" si="0"/>
        <v>1.1755306329971564</v>
      </c>
    </row>
    <row r="27" spans="1:20" ht="16.5">
      <c r="A27" s="14" t="s">
        <v>39</v>
      </c>
      <c r="B27" s="94">
        <v>3101</v>
      </c>
      <c r="C27" s="57">
        <v>1520</v>
      </c>
      <c r="D27" s="57">
        <v>1685</v>
      </c>
      <c r="E27" s="57">
        <v>1571</v>
      </c>
      <c r="F27" s="94">
        <v>5012</v>
      </c>
      <c r="G27" s="94">
        <v>44985</v>
      </c>
      <c r="H27" s="94">
        <v>443</v>
      </c>
      <c r="I27" s="94">
        <v>387</v>
      </c>
      <c r="J27" s="57">
        <v>4036</v>
      </c>
      <c r="K27" s="57">
        <v>43</v>
      </c>
      <c r="L27" s="57">
        <v>4058</v>
      </c>
      <c r="M27" s="58">
        <v>1403</v>
      </c>
      <c r="N27" s="57">
        <v>9076</v>
      </c>
      <c r="O27" s="57">
        <v>5176</v>
      </c>
      <c r="P27" s="57">
        <v>3538</v>
      </c>
      <c r="Q27" s="57">
        <v>3283</v>
      </c>
      <c r="R27" s="57">
        <v>3662</v>
      </c>
      <c r="S27" s="60">
        <f t="shared" si="4"/>
        <v>92979</v>
      </c>
      <c r="T27" s="50">
        <f t="shared" si="0"/>
        <v>0.86249487256218271</v>
      </c>
    </row>
    <row r="28" spans="1:20" ht="16.5">
      <c r="A28" s="14" t="s">
        <v>91</v>
      </c>
      <c r="B28" s="94">
        <v>2866</v>
      </c>
      <c r="C28" s="57">
        <v>9671</v>
      </c>
      <c r="D28" s="57">
        <v>6392</v>
      </c>
      <c r="E28" s="57">
        <v>3917</v>
      </c>
      <c r="F28" s="94">
        <v>32963</v>
      </c>
      <c r="G28" s="94">
        <v>34765</v>
      </c>
      <c r="H28" s="94">
        <v>4857</v>
      </c>
      <c r="I28" s="94">
        <v>5254</v>
      </c>
      <c r="J28" s="57">
        <v>28356</v>
      </c>
      <c r="K28" s="57">
        <v>688</v>
      </c>
      <c r="L28" s="57">
        <v>8427</v>
      </c>
      <c r="M28" s="58">
        <v>7313</v>
      </c>
      <c r="N28" s="57">
        <v>71932</v>
      </c>
      <c r="O28" s="57">
        <v>34761</v>
      </c>
      <c r="P28" s="57">
        <v>4569</v>
      </c>
      <c r="Q28" s="57">
        <v>6059</v>
      </c>
      <c r="R28" s="57">
        <v>2762</v>
      </c>
      <c r="S28" s="60">
        <f t="shared" si="4"/>
        <v>265552</v>
      </c>
      <c r="T28" s="50">
        <f t="shared" si="0"/>
        <v>2.4633222383401923</v>
      </c>
    </row>
    <row r="29" spans="1:20" ht="16.5">
      <c r="A29" s="14" t="s">
        <v>41</v>
      </c>
      <c r="B29" s="94">
        <v>435</v>
      </c>
      <c r="C29" s="57">
        <v>307</v>
      </c>
      <c r="D29" s="57">
        <v>121</v>
      </c>
      <c r="E29" s="57">
        <v>410</v>
      </c>
      <c r="F29" s="94">
        <v>0</v>
      </c>
      <c r="G29" s="94">
        <v>5407</v>
      </c>
      <c r="H29" s="94">
        <v>39</v>
      </c>
      <c r="I29" s="94">
        <v>73</v>
      </c>
      <c r="J29" s="57">
        <v>2102</v>
      </c>
      <c r="K29" s="57">
        <v>70</v>
      </c>
      <c r="L29" s="57">
        <v>265</v>
      </c>
      <c r="M29" s="58">
        <v>0</v>
      </c>
      <c r="N29" s="57">
        <v>951</v>
      </c>
      <c r="O29" s="57">
        <v>1556</v>
      </c>
      <c r="P29" s="57">
        <v>1658</v>
      </c>
      <c r="Q29" s="57"/>
      <c r="R29" s="57">
        <v>2101</v>
      </c>
      <c r="S29" s="60">
        <f t="shared" si="4"/>
        <v>15495</v>
      </c>
      <c r="T29" s="50">
        <f t="shared" si="0"/>
        <v>0.14373523107745859</v>
      </c>
    </row>
    <row r="30" spans="1:20" ht="16.5">
      <c r="A30" s="14" t="s">
        <v>42</v>
      </c>
      <c r="B30" s="94">
        <v>5323</v>
      </c>
      <c r="C30" s="57">
        <v>3898</v>
      </c>
      <c r="D30" s="57">
        <v>6546</v>
      </c>
      <c r="E30" s="57">
        <v>1071</v>
      </c>
      <c r="F30" s="94">
        <v>19651</v>
      </c>
      <c r="G30" s="94">
        <v>22415</v>
      </c>
      <c r="H30" s="94">
        <v>3697</v>
      </c>
      <c r="I30" s="94">
        <v>926</v>
      </c>
      <c r="J30" s="57">
        <v>33456</v>
      </c>
      <c r="K30" s="57">
        <v>460</v>
      </c>
      <c r="L30" s="57">
        <v>6084</v>
      </c>
      <c r="M30" s="58">
        <v>193</v>
      </c>
      <c r="N30" s="57">
        <v>19838</v>
      </c>
      <c r="O30" s="57">
        <v>4886</v>
      </c>
      <c r="P30" s="57">
        <v>1902</v>
      </c>
      <c r="Q30" s="57">
        <v>2416</v>
      </c>
      <c r="R30" s="57">
        <v>5010</v>
      </c>
      <c r="S30" s="60">
        <f t="shared" si="4"/>
        <v>137772</v>
      </c>
      <c r="T30" s="50">
        <f t="shared" si="0"/>
        <v>1.2780051794774845</v>
      </c>
    </row>
    <row r="31" spans="1:20" ht="16.5">
      <c r="A31" s="14" t="s">
        <v>43</v>
      </c>
      <c r="B31" s="57">
        <v>5728</v>
      </c>
      <c r="C31" s="57">
        <v>16223</v>
      </c>
      <c r="D31" s="57">
        <v>15359</v>
      </c>
      <c r="E31" s="57">
        <v>13266</v>
      </c>
      <c r="F31" s="94">
        <v>89727</v>
      </c>
      <c r="G31" s="94">
        <v>77176</v>
      </c>
      <c r="H31" s="94">
        <v>10263</v>
      </c>
      <c r="I31" s="94">
        <v>10021</v>
      </c>
      <c r="J31" s="57">
        <v>71166</v>
      </c>
      <c r="K31" s="57">
        <v>668</v>
      </c>
      <c r="L31" s="57">
        <v>22852</v>
      </c>
      <c r="M31" s="58">
        <v>6223</v>
      </c>
      <c r="N31" s="57">
        <v>91793</v>
      </c>
      <c r="O31" s="57">
        <v>57580</v>
      </c>
      <c r="P31" s="57">
        <v>22717</v>
      </c>
      <c r="Q31" s="57">
        <v>12882</v>
      </c>
      <c r="R31" s="57">
        <v>8781</v>
      </c>
      <c r="S31" s="60">
        <f t="shared" si="4"/>
        <v>532425</v>
      </c>
      <c r="T31" s="50">
        <f t="shared" si="0"/>
        <v>4.9388983805366822</v>
      </c>
    </row>
    <row r="32" spans="1:20" ht="16.5">
      <c r="A32" s="16" t="s">
        <v>44</v>
      </c>
      <c r="B32" s="62">
        <f t="shared" ref="B32:R32" si="10">SUM(B23:B31)</f>
        <v>25980</v>
      </c>
      <c r="C32" s="62">
        <f t="shared" si="10"/>
        <v>40125</v>
      </c>
      <c r="D32" s="62">
        <f t="shared" si="10"/>
        <v>33058</v>
      </c>
      <c r="E32" s="62">
        <f t="shared" si="10"/>
        <v>22098</v>
      </c>
      <c r="F32" s="62">
        <f t="shared" si="10"/>
        <v>153267</v>
      </c>
      <c r="G32" s="62">
        <f t="shared" si="10"/>
        <v>244401</v>
      </c>
      <c r="H32" s="62">
        <f t="shared" si="10"/>
        <v>20000</v>
      </c>
      <c r="I32" s="62">
        <f t="shared" si="10"/>
        <v>19189</v>
      </c>
      <c r="J32" s="62">
        <f t="shared" si="10"/>
        <v>159964</v>
      </c>
      <c r="K32" s="62">
        <f t="shared" si="10"/>
        <v>2651</v>
      </c>
      <c r="L32" s="62">
        <f t="shared" si="10"/>
        <v>50951</v>
      </c>
      <c r="M32" s="62">
        <f t="shared" si="10"/>
        <v>17570</v>
      </c>
      <c r="N32" s="62">
        <f t="shared" si="10"/>
        <v>257356</v>
      </c>
      <c r="O32" s="62">
        <f t="shared" si="10"/>
        <v>129896</v>
      </c>
      <c r="P32" s="62">
        <f t="shared" ref="P32" si="11">SUM(P23:P31)</f>
        <v>39110</v>
      </c>
      <c r="Q32" s="62">
        <f t="shared" si="10"/>
        <v>27566</v>
      </c>
      <c r="R32" s="62">
        <f t="shared" si="10"/>
        <v>29695</v>
      </c>
      <c r="S32" s="62">
        <f t="shared" si="4"/>
        <v>1272877</v>
      </c>
      <c r="T32" s="51">
        <f t="shared" si="0"/>
        <v>11.807503693332189</v>
      </c>
    </row>
    <row r="33" spans="1:20" ht="16.5">
      <c r="A33" s="14" t="s">
        <v>45</v>
      </c>
      <c r="B33" s="94">
        <v>1163</v>
      </c>
      <c r="C33" s="57">
        <v>1254</v>
      </c>
      <c r="D33" s="57">
        <v>184</v>
      </c>
      <c r="E33" s="57">
        <v>0</v>
      </c>
      <c r="F33" s="94">
        <v>2372</v>
      </c>
      <c r="G33" s="94">
        <v>3246</v>
      </c>
      <c r="H33" s="94">
        <v>194</v>
      </c>
      <c r="I33" s="94">
        <v>26</v>
      </c>
      <c r="J33" s="57">
        <v>17225</v>
      </c>
      <c r="K33" s="57">
        <v>322</v>
      </c>
      <c r="L33" s="57">
        <v>259</v>
      </c>
      <c r="M33" s="58">
        <v>165</v>
      </c>
      <c r="N33" s="57">
        <v>2107</v>
      </c>
      <c r="O33" s="57">
        <v>2690</v>
      </c>
      <c r="P33" s="57">
        <v>210</v>
      </c>
      <c r="Q33" s="57"/>
      <c r="R33" s="57">
        <v>1816</v>
      </c>
      <c r="S33" s="60">
        <f t="shared" si="4"/>
        <v>33233</v>
      </c>
      <c r="T33" s="50">
        <f t="shared" si="0"/>
        <v>0.30827705288139279</v>
      </c>
    </row>
    <row r="34" spans="1:20" ht="16.5">
      <c r="A34" s="14" t="s">
        <v>24</v>
      </c>
      <c r="B34" s="94">
        <v>5939</v>
      </c>
      <c r="C34" s="57">
        <v>20895</v>
      </c>
      <c r="D34" s="57">
        <v>13457</v>
      </c>
      <c r="E34" s="57">
        <v>1998</v>
      </c>
      <c r="F34" s="94">
        <v>162688</v>
      </c>
      <c r="G34" s="94">
        <v>48950</v>
      </c>
      <c r="H34" s="94">
        <v>3818</v>
      </c>
      <c r="I34" s="94">
        <v>875</v>
      </c>
      <c r="J34" s="57">
        <v>64381</v>
      </c>
      <c r="K34" s="57">
        <v>1276</v>
      </c>
      <c r="L34" s="57">
        <v>10715</v>
      </c>
      <c r="M34" s="58">
        <v>8244</v>
      </c>
      <c r="N34" s="57">
        <v>28059</v>
      </c>
      <c r="O34" s="57">
        <v>43818</v>
      </c>
      <c r="P34" s="57">
        <v>2947</v>
      </c>
      <c r="Q34" s="57"/>
      <c r="R34" s="57">
        <v>3364</v>
      </c>
      <c r="S34" s="60">
        <f t="shared" ref="S34:S41" si="12">SUM(B34:R34)</f>
        <v>421424</v>
      </c>
      <c r="T34" s="50">
        <f t="shared" si="0"/>
        <v>3.9092272359849569</v>
      </c>
    </row>
    <row r="35" spans="1:20" ht="16.5">
      <c r="A35" s="14" t="s">
        <v>87</v>
      </c>
      <c r="B35" s="94">
        <v>255</v>
      </c>
      <c r="C35" s="57">
        <v>2267</v>
      </c>
      <c r="D35" s="57">
        <v>479</v>
      </c>
      <c r="E35" s="57">
        <v>68</v>
      </c>
      <c r="F35" s="94">
        <v>22182</v>
      </c>
      <c r="G35" s="94">
        <v>2773</v>
      </c>
      <c r="H35" s="94">
        <v>0</v>
      </c>
      <c r="I35" s="94"/>
      <c r="J35" s="57">
        <v>4633</v>
      </c>
      <c r="K35" s="57">
        <v>339</v>
      </c>
      <c r="L35" s="57">
        <v>722</v>
      </c>
      <c r="M35" s="58">
        <v>481</v>
      </c>
      <c r="N35" s="57">
        <v>2379</v>
      </c>
      <c r="O35" s="57">
        <v>4334</v>
      </c>
      <c r="P35" s="57">
        <v>197</v>
      </c>
      <c r="Q35" s="57"/>
      <c r="R35" s="57">
        <v>534</v>
      </c>
      <c r="S35" s="60">
        <f t="shared" si="12"/>
        <v>41643</v>
      </c>
      <c r="T35" s="50">
        <f t="shared" si="0"/>
        <v>0.38629017281436645</v>
      </c>
    </row>
    <row r="36" spans="1:20" ht="16.5">
      <c r="A36" s="14" t="s">
        <v>47</v>
      </c>
      <c r="B36" s="94">
        <v>8919</v>
      </c>
      <c r="C36" s="57">
        <v>11895</v>
      </c>
      <c r="D36" s="57">
        <v>1994</v>
      </c>
      <c r="E36" s="57">
        <v>123</v>
      </c>
      <c r="F36" s="57">
        <v>42360</v>
      </c>
      <c r="G36" s="94">
        <v>89150</v>
      </c>
      <c r="H36" s="94">
        <v>2834</v>
      </c>
      <c r="I36" s="94">
        <v>219</v>
      </c>
      <c r="J36" s="57">
        <v>211357</v>
      </c>
      <c r="K36" s="57">
        <v>1363</v>
      </c>
      <c r="L36" s="57">
        <v>4905</v>
      </c>
      <c r="M36" s="58">
        <v>7066</v>
      </c>
      <c r="N36" s="59">
        <f>2349+19253</f>
        <v>21602</v>
      </c>
      <c r="O36" s="57">
        <v>28516</v>
      </c>
      <c r="P36" s="57">
        <v>4380</v>
      </c>
      <c r="Q36" s="57"/>
      <c r="R36" s="57">
        <v>6298</v>
      </c>
      <c r="S36" s="60">
        <f>SUM(B36:R36)</f>
        <v>442981</v>
      </c>
      <c r="T36" s="50">
        <f t="shared" si="0"/>
        <v>4.1091949917988826</v>
      </c>
    </row>
    <row r="37" spans="1:20" ht="16.5">
      <c r="A37" s="14" t="s">
        <v>88</v>
      </c>
      <c r="B37" s="94">
        <v>2163</v>
      </c>
      <c r="C37" s="57">
        <v>3932</v>
      </c>
      <c r="D37" s="57">
        <v>241</v>
      </c>
      <c r="E37" s="57">
        <v>0</v>
      </c>
      <c r="F37" s="57">
        <v>6381</v>
      </c>
      <c r="G37" s="94">
        <v>15687</v>
      </c>
      <c r="H37" s="94">
        <v>912</v>
      </c>
      <c r="I37" s="94">
        <v>18</v>
      </c>
      <c r="J37" s="57">
        <v>59617</v>
      </c>
      <c r="K37" s="57">
        <v>552</v>
      </c>
      <c r="L37" s="57">
        <v>662</v>
      </c>
      <c r="M37" s="58">
        <v>815</v>
      </c>
      <c r="N37" s="57">
        <v>4639</v>
      </c>
      <c r="O37" s="57">
        <v>10802</v>
      </c>
      <c r="P37" s="57">
        <v>854</v>
      </c>
      <c r="Q37" s="57"/>
      <c r="R37" s="57">
        <v>3426</v>
      </c>
      <c r="S37" s="60">
        <f>SUM(B37:R37)</f>
        <v>110701</v>
      </c>
      <c r="T37" s="50">
        <f t="shared" ref="T37:T65" si="13">S37/S$65*100</f>
        <v>1.0268882746373502</v>
      </c>
    </row>
    <row r="38" spans="1:20" ht="16.5">
      <c r="A38" s="14" t="s">
        <v>48</v>
      </c>
      <c r="B38" s="94">
        <v>0</v>
      </c>
      <c r="C38" s="57">
        <v>1</v>
      </c>
      <c r="D38" s="57">
        <v>0</v>
      </c>
      <c r="E38" s="57">
        <v>0</v>
      </c>
      <c r="F38" s="57">
        <v>0</v>
      </c>
      <c r="G38" s="57">
        <v>0</v>
      </c>
      <c r="H38" s="94">
        <v>0</v>
      </c>
      <c r="I38" s="94">
        <v>0</v>
      </c>
      <c r="J38" s="57">
        <v>43026</v>
      </c>
      <c r="K38" s="57">
        <v>0</v>
      </c>
      <c r="L38" s="57">
        <v>1</v>
      </c>
      <c r="M38" s="58">
        <v>0</v>
      </c>
      <c r="N38" s="57">
        <v>0</v>
      </c>
      <c r="O38" s="57">
        <v>0</v>
      </c>
      <c r="P38" s="57">
        <v>0</v>
      </c>
      <c r="Q38" s="57"/>
      <c r="R38" s="57">
        <v>0</v>
      </c>
      <c r="S38" s="60">
        <f>SUM(B38:R38)</f>
        <v>43028</v>
      </c>
      <c r="T38" s="50">
        <f t="shared" si="13"/>
        <v>0.39913775558573011</v>
      </c>
    </row>
    <row r="39" spans="1:20" ht="16.5">
      <c r="A39" s="14" t="s">
        <v>49</v>
      </c>
      <c r="B39" s="94">
        <v>35</v>
      </c>
      <c r="C39" s="57">
        <v>106</v>
      </c>
      <c r="D39" s="57">
        <v>1</v>
      </c>
      <c r="E39" s="57">
        <v>0</v>
      </c>
      <c r="F39" s="57">
        <v>135</v>
      </c>
      <c r="G39" s="94">
        <v>633</v>
      </c>
      <c r="H39" s="94">
        <v>1</v>
      </c>
      <c r="I39" s="94">
        <v>0</v>
      </c>
      <c r="J39" s="57">
        <v>1359</v>
      </c>
      <c r="K39" s="57">
        <v>51</v>
      </c>
      <c r="L39" s="57">
        <v>19</v>
      </c>
      <c r="M39" s="58">
        <v>7</v>
      </c>
      <c r="N39" s="57">
        <v>585</v>
      </c>
      <c r="O39" s="57">
        <v>123</v>
      </c>
      <c r="P39" s="57">
        <v>0</v>
      </c>
      <c r="Q39" s="57"/>
      <c r="R39" s="57">
        <v>208</v>
      </c>
      <c r="S39" s="60">
        <f>SUM(B39:R39)</f>
        <v>3263</v>
      </c>
      <c r="T39" s="50">
        <f t="shared" si="13"/>
        <v>3.0268348435349941E-2</v>
      </c>
    </row>
    <row r="40" spans="1:20" ht="16.5">
      <c r="A40" s="14" t="s">
        <v>30</v>
      </c>
      <c r="B40" s="94">
        <v>9627</v>
      </c>
      <c r="C40" s="57">
        <v>19497</v>
      </c>
      <c r="D40" s="57">
        <v>7294</v>
      </c>
      <c r="E40" s="57">
        <v>3610</v>
      </c>
      <c r="F40" s="57">
        <v>43801</v>
      </c>
      <c r="G40" s="94">
        <v>146219</v>
      </c>
      <c r="H40" s="94">
        <v>5050</v>
      </c>
      <c r="I40" s="94">
        <v>1945</v>
      </c>
      <c r="J40" s="57">
        <v>53888</v>
      </c>
      <c r="K40" s="57">
        <v>1265</v>
      </c>
      <c r="L40" s="57">
        <v>20377</v>
      </c>
      <c r="M40" s="58">
        <v>4674</v>
      </c>
      <c r="N40" s="57">
        <v>95444</v>
      </c>
      <c r="O40" s="98">
        <v>30224</v>
      </c>
      <c r="P40" s="57">
        <v>1879</v>
      </c>
      <c r="Q40" s="57">
        <v>1913</v>
      </c>
      <c r="R40" s="57">
        <v>4431</v>
      </c>
      <c r="S40" s="60">
        <f>SUM(B40:R40)</f>
        <v>451138</v>
      </c>
      <c r="T40" s="50">
        <f t="shared" si="13"/>
        <v>4.1848612247707333</v>
      </c>
    </row>
    <row r="41" spans="1:20" ht="16.5">
      <c r="A41" s="14" t="s">
        <v>25</v>
      </c>
      <c r="B41" s="94">
        <v>8964</v>
      </c>
      <c r="C41" s="57">
        <v>33551</v>
      </c>
      <c r="D41" s="57">
        <v>17495</v>
      </c>
      <c r="E41" s="57">
        <v>2643</v>
      </c>
      <c r="F41" s="57">
        <v>301935</v>
      </c>
      <c r="G41" s="94">
        <v>55401</v>
      </c>
      <c r="H41" s="94">
        <v>7925</v>
      </c>
      <c r="I41" s="94">
        <v>4666</v>
      </c>
      <c r="J41" s="57">
        <v>81643</v>
      </c>
      <c r="K41" s="57">
        <v>2312</v>
      </c>
      <c r="L41" s="57">
        <v>23938</v>
      </c>
      <c r="M41" s="58">
        <v>15851</v>
      </c>
      <c r="N41" s="57">
        <v>57186</v>
      </c>
      <c r="O41" s="57">
        <v>65697</v>
      </c>
      <c r="P41" s="57">
        <v>9018</v>
      </c>
      <c r="Q41" s="57">
        <v>5633</v>
      </c>
      <c r="R41" s="57">
        <v>6144</v>
      </c>
      <c r="S41" s="60">
        <f t="shared" si="12"/>
        <v>700002</v>
      </c>
      <c r="T41" s="50">
        <f t="shared" si="13"/>
        <v>6.4933816860073028</v>
      </c>
    </row>
    <row r="42" spans="1:20" ht="16.5">
      <c r="A42" s="14" t="s">
        <v>72</v>
      </c>
      <c r="B42" s="94">
        <v>0</v>
      </c>
      <c r="C42" s="57">
        <v>0</v>
      </c>
      <c r="D42" s="57">
        <v>0</v>
      </c>
      <c r="E42" s="57">
        <v>0</v>
      </c>
      <c r="F42" s="57" t="s">
        <v>111</v>
      </c>
      <c r="G42" s="57">
        <v>0</v>
      </c>
      <c r="H42" s="57">
        <v>0</v>
      </c>
      <c r="I42" s="94">
        <v>0</v>
      </c>
      <c r="J42" s="57">
        <v>0</v>
      </c>
      <c r="K42" s="57">
        <v>0</v>
      </c>
      <c r="L42" s="57">
        <v>0</v>
      </c>
      <c r="M42" s="58">
        <v>0</v>
      </c>
      <c r="N42" s="57">
        <v>0</v>
      </c>
      <c r="O42" s="57">
        <v>0</v>
      </c>
      <c r="P42" s="57">
        <v>11</v>
      </c>
      <c r="Q42" s="57"/>
      <c r="R42" s="57">
        <v>0</v>
      </c>
      <c r="S42" s="60">
        <f t="shared" si="4"/>
        <v>11</v>
      </c>
      <c r="T42" s="50">
        <f t="shared" si="13"/>
        <v>1.0203856352707612E-4</v>
      </c>
    </row>
    <row r="43" spans="1:20" ht="16.5">
      <c r="A43" s="16" t="s">
        <v>119</v>
      </c>
      <c r="B43" s="62">
        <f t="shared" ref="B43:P43" si="14">SUM(B33:B42)</f>
        <v>37065</v>
      </c>
      <c r="C43" s="62">
        <f t="shared" si="14"/>
        <v>93398</v>
      </c>
      <c r="D43" s="62">
        <f t="shared" si="14"/>
        <v>41145</v>
      </c>
      <c r="E43" s="62">
        <f t="shared" si="14"/>
        <v>8442</v>
      </c>
      <c r="F43" s="62">
        <f t="shared" si="14"/>
        <v>581854</v>
      </c>
      <c r="G43" s="62">
        <f t="shared" si="14"/>
        <v>362059</v>
      </c>
      <c r="H43" s="62">
        <f t="shared" si="14"/>
        <v>20734</v>
      </c>
      <c r="I43" s="62">
        <f t="shared" si="14"/>
        <v>7749</v>
      </c>
      <c r="J43" s="62">
        <f t="shared" si="14"/>
        <v>537129</v>
      </c>
      <c r="K43" s="62">
        <f t="shared" si="14"/>
        <v>7480</v>
      </c>
      <c r="L43" s="62">
        <f t="shared" si="14"/>
        <v>61598</v>
      </c>
      <c r="M43" s="62">
        <f t="shared" si="14"/>
        <v>37303</v>
      </c>
      <c r="N43" s="62">
        <f t="shared" si="14"/>
        <v>212001</v>
      </c>
      <c r="O43" s="62">
        <f t="shared" si="14"/>
        <v>186204</v>
      </c>
      <c r="P43" s="62">
        <f t="shared" si="14"/>
        <v>19496</v>
      </c>
      <c r="Q43" s="62" t="s">
        <v>107</v>
      </c>
      <c r="R43" s="62">
        <f>SUM(R33:R42)</f>
        <v>26221</v>
      </c>
      <c r="S43" s="62">
        <f>SUM(R33:S41)</f>
        <v>2273634</v>
      </c>
      <c r="T43" s="51">
        <f t="shared" si="13"/>
        <v>21.090758849665473</v>
      </c>
    </row>
    <row r="44" spans="1:20" ht="16.5">
      <c r="A44" s="14" t="s">
        <v>52</v>
      </c>
      <c r="B44" s="94">
        <v>13003</v>
      </c>
      <c r="C44" s="57">
        <v>31758</v>
      </c>
      <c r="D44" s="57">
        <v>11719</v>
      </c>
      <c r="E44" s="57">
        <v>5906</v>
      </c>
      <c r="F44" s="94">
        <v>52570</v>
      </c>
      <c r="G44" s="94">
        <v>303185</v>
      </c>
      <c r="H44" s="94">
        <v>3606</v>
      </c>
      <c r="I44" s="94">
        <v>2974</v>
      </c>
      <c r="J44" s="57">
        <v>45936</v>
      </c>
      <c r="K44" s="57">
        <f>624+41+4182+2</f>
        <v>4849</v>
      </c>
      <c r="L44" s="57">
        <v>14087</v>
      </c>
      <c r="M44" s="58">
        <v>13752</v>
      </c>
      <c r="N44" s="57">
        <v>110883</v>
      </c>
      <c r="O44" s="57">
        <v>42374</v>
      </c>
      <c r="P44" s="57">
        <v>18170</v>
      </c>
      <c r="Q44" s="57">
        <v>7808</v>
      </c>
      <c r="R44" s="57">
        <v>22829</v>
      </c>
      <c r="S44" s="60">
        <f t="shared" ref="S44:S64" si="15">SUM(B44:R44)</f>
        <v>705409</v>
      </c>
      <c r="T44" s="50">
        <f t="shared" si="13"/>
        <v>6.5435382780973859</v>
      </c>
    </row>
    <row r="45" spans="1:20" ht="16.5">
      <c r="A45" s="14" t="s">
        <v>53</v>
      </c>
      <c r="B45" s="94">
        <v>269</v>
      </c>
      <c r="C45" s="57">
        <v>152</v>
      </c>
      <c r="D45" s="57">
        <v>1</v>
      </c>
      <c r="E45" s="57">
        <v>0</v>
      </c>
      <c r="F45" s="94">
        <v>1692</v>
      </c>
      <c r="G45" s="94">
        <v>16051</v>
      </c>
      <c r="H45" s="94">
        <v>35</v>
      </c>
      <c r="I45" s="94">
        <v>0</v>
      </c>
      <c r="J45" s="57">
        <v>4575</v>
      </c>
      <c r="K45" s="57">
        <v>150</v>
      </c>
      <c r="L45" s="57">
        <v>176</v>
      </c>
      <c r="M45" s="58">
        <v>518</v>
      </c>
      <c r="N45" s="57">
        <v>1377</v>
      </c>
      <c r="O45" s="57">
        <v>1368</v>
      </c>
      <c r="P45" s="57">
        <v>7</v>
      </c>
      <c r="Q45" s="57"/>
      <c r="R45" s="57">
        <v>404</v>
      </c>
      <c r="S45" s="60">
        <f t="shared" si="15"/>
        <v>26775</v>
      </c>
      <c r="T45" s="50">
        <f t="shared" si="13"/>
        <v>0.24837113985795117</v>
      </c>
    </row>
    <row r="46" spans="1:20" ht="16.5">
      <c r="A46" s="16" t="s">
        <v>54</v>
      </c>
      <c r="B46" s="62">
        <f t="shared" ref="B46:J46" si="16">+B45+B44</f>
        <v>13272</v>
      </c>
      <c r="C46" s="62">
        <f t="shared" si="16"/>
        <v>31910</v>
      </c>
      <c r="D46" s="62">
        <f t="shared" si="16"/>
        <v>11720</v>
      </c>
      <c r="E46" s="62">
        <f t="shared" si="16"/>
        <v>5906</v>
      </c>
      <c r="F46" s="62">
        <f t="shared" si="16"/>
        <v>54262</v>
      </c>
      <c r="G46" s="62">
        <f t="shared" si="16"/>
        <v>319236</v>
      </c>
      <c r="H46" s="62">
        <f t="shared" si="16"/>
        <v>3641</v>
      </c>
      <c r="I46" s="62">
        <f t="shared" si="16"/>
        <v>2974</v>
      </c>
      <c r="J46" s="62">
        <f t="shared" si="16"/>
        <v>50511</v>
      </c>
      <c r="K46" s="62">
        <f>SUM(K44:K45)</f>
        <v>4999</v>
      </c>
      <c r="L46" s="62">
        <f>SUM(L44:L45)</f>
        <v>14263</v>
      </c>
      <c r="M46" s="62">
        <f t="shared" ref="M46:R46" si="17">+M45+M44</f>
        <v>14270</v>
      </c>
      <c r="N46" s="62">
        <f t="shared" si="17"/>
        <v>112260</v>
      </c>
      <c r="O46" s="62">
        <f t="shared" si="17"/>
        <v>43742</v>
      </c>
      <c r="P46" s="62">
        <f t="shared" ref="P46" si="18">+P45+P44</f>
        <v>18177</v>
      </c>
      <c r="Q46" s="62">
        <f t="shared" si="17"/>
        <v>7808</v>
      </c>
      <c r="R46" s="62">
        <f t="shared" si="17"/>
        <v>23233</v>
      </c>
      <c r="S46" s="62">
        <f t="shared" si="15"/>
        <v>732184</v>
      </c>
      <c r="T46" s="51">
        <f t="shared" si="13"/>
        <v>6.7919094179553356</v>
      </c>
    </row>
    <row r="47" spans="1:20" ht="16.5">
      <c r="A47" s="14" t="s">
        <v>55</v>
      </c>
      <c r="B47" s="94">
        <v>15812</v>
      </c>
      <c r="C47" s="57">
        <v>36381</v>
      </c>
      <c r="D47" s="57">
        <v>8514</v>
      </c>
      <c r="E47" s="57">
        <v>4316</v>
      </c>
      <c r="F47" s="94">
        <v>45478</v>
      </c>
      <c r="G47" s="94">
        <v>240968</v>
      </c>
      <c r="H47" s="94">
        <v>3158</v>
      </c>
      <c r="I47" s="94">
        <v>3128</v>
      </c>
      <c r="J47" s="57">
        <v>46028</v>
      </c>
      <c r="K47" s="57">
        <v>4207</v>
      </c>
      <c r="L47" s="57">
        <v>17992</v>
      </c>
      <c r="M47" s="58">
        <v>10519</v>
      </c>
      <c r="N47" s="57">
        <v>115476</v>
      </c>
      <c r="O47" s="57">
        <v>35229</v>
      </c>
      <c r="P47" s="57">
        <v>17726</v>
      </c>
      <c r="Q47" s="57">
        <v>9625</v>
      </c>
      <c r="R47" s="65">
        <f>21331+59</f>
        <v>21390</v>
      </c>
      <c r="S47" s="60">
        <f t="shared" si="15"/>
        <v>635947</v>
      </c>
      <c r="T47" s="50">
        <f t="shared" si="13"/>
        <v>5.8991925781230439</v>
      </c>
    </row>
    <row r="48" spans="1:20" ht="16.5">
      <c r="A48" s="14" t="s">
        <v>56</v>
      </c>
      <c r="B48" s="94">
        <v>2569</v>
      </c>
      <c r="C48" s="57">
        <v>6865</v>
      </c>
      <c r="D48" s="57">
        <v>1308</v>
      </c>
      <c r="E48" s="57">
        <v>293</v>
      </c>
      <c r="F48" s="94">
        <v>21881</v>
      </c>
      <c r="G48" s="94">
        <v>44152</v>
      </c>
      <c r="H48" s="94">
        <v>1614</v>
      </c>
      <c r="I48" s="94">
        <v>432</v>
      </c>
      <c r="J48" s="57">
        <v>16592</v>
      </c>
      <c r="K48" s="57">
        <v>927</v>
      </c>
      <c r="L48" s="57">
        <v>6579</v>
      </c>
      <c r="M48" s="58">
        <v>1794</v>
      </c>
      <c r="N48" s="57">
        <v>46109</v>
      </c>
      <c r="O48" s="57">
        <v>8929</v>
      </c>
      <c r="P48" s="57">
        <v>3057</v>
      </c>
      <c r="Q48" s="57"/>
      <c r="R48" s="65">
        <v>4926</v>
      </c>
      <c r="S48" s="60">
        <f t="shared" si="15"/>
        <v>168027</v>
      </c>
      <c r="T48" s="50">
        <f t="shared" si="13"/>
        <v>1.5586576103421834</v>
      </c>
    </row>
    <row r="49" spans="1:20" ht="16.5">
      <c r="A49" s="14" t="s">
        <v>78</v>
      </c>
      <c r="B49" s="94">
        <v>2</v>
      </c>
      <c r="C49" s="57">
        <v>8</v>
      </c>
      <c r="D49" s="57">
        <v>0</v>
      </c>
      <c r="E49" s="57">
        <v>0</v>
      </c>
      <c r="F49" s="94">
        <v>10</v>
      </c>
      <c r="G49" s="94">
        <v>152</v>
      </c>
      <c r="H49" s="57">
        <v>0</v>
      </c>
      <c r="I49" s="57">
        <v>0</v>
      </c>
      <c r="J49" s="57">
        <v>16</v>
      </c>
      <c r="K49" s="57">
        <v>1</v>
      </c>
      <c r="L49" s="57">
        <v>6</v>
      </c>
      <c r="M49" s="58">
        <v>0</v>
      </c>
      <c r="N49" s="57">
        <v>0</v>
      </c>
      <c r="O49" s="57">
        <v>2</v>
      </c>
      <c r="P49" s="57">
        <v>2</v>
      </c>
      <c r="Q49" s="57"/>
      <c r="R49" s="65">
        <v>0</v>
      </c>
      <c r="S49" s="60">
        <f t="shared" si="15"/>
        <v>199</v>
      </c>
      <c r="T49" s="50">
        <f t="shared" si="13"/>
        <v>1.8459703765352862E-3</v>
      </c>
    </row>
    <row r="50" spans="1:20" ht="16.5">
      <c r="A50" s="16" t="s">
        <v>57</v>
      </c>
      <c r="B50" s="62">
        <f>+B48+B47+B49</f>
        <v>18383</v>
      </c>
      <c r="C50" s="62">
        <f>+C48+C47+C49</f>
        <v>43254</v>
      </c>
      <c r="D50" s="62">
        <f t="shared" ref="D50:R50" si="19">+D48+D47+D49</f>
        <v>9822</v>
      </c>
      <c r="E50" s="62">
        <f t="shared" si="19"/>
        <v>4609</v>
      </c>
      <c r="F50" s="62">
        <f t="shared" si="19"/>
        <v>67369</v>
      </c>
      <c r="G50" s="62">
        <f t="shared" si="19"/>
        <v>285272</v>
      </c>
      <c r="H50" s="62">
        <f t="shared" si="19"/>
        <v>4772</v>
      </c>
      <c r="I50" s="62">
        <f t="shared" si="19"/>
        <v>3560</v>
      </c>
      <c r="J50" s="62">
        <f t="shared" si="19"/>
        <v>62636</v>
      </c>
      <c r="K50" s="62">
        <f t="shared" si="19"/>
        <v>5135</v>
      </c>
      <c r="L50" s="62">
        <f>+L48+L47+L49</f>
        <v>24577</v>
      </c>
      <c r="M50" s="62">
        <f t="shared" si="19"/>
        <v>12313</v>
      </c>
      <c r="N50" s="62">
        <f t="shared" si="19"/>
        <v>161585</v>
      </c>
      <c r="O50" s="62">
        <f t="shared" si="19"/>
        <v>44160</v>
      </c>
      <c r="P50" s="62">
        <f t="shared" ref="P50" si="20">+P48+P47+P49</f>
        <v>20785</v>
      </c>
      <c r="Q50" s="62">
        <f>+Q47</f>
        <v>9625</v>
      </c>
      <c r="R50" s="62">
        <f t="shared" si="19"/>
        <v>26316</v>
      </c>
      <c r="S50" s="62">
        <f t="shared" si="15"/>
        <v>804173</v>
      </c>
      <c r="T50" s="51">
        <f t="shared" si="13"/>
        <v>7.4596961588417621</v>
      </c>
    </row>
    <row r="51" spans="1:20" ht="16.5">
      <c r="A51" s="14" t="s">
        <v>58</v>
      </c>
      <c r="B51" s="94">
        <v>13057</v>
      </c>
      <c r="C51" s="57">
        <v>14567</v>
      </c>
      <c r="D51" s="57">
        <v>9116</v>
      </c>
      <c r="E51" s="57">
        <v>3128</v>
      </c>
      <c r="F51" s="94">
        <v>34585</v>
      </c>
      <c r="G51" s="94">
        <v>105051</v>
      </c>
      <c r="H51" s="94">
        <v>5224</v>
      </c>
      <c r="I51" s="94">
        <v>8180</v>
      </c>
      <c r="J51" s="57">
        <v>33399</v>
      </c>
      <c r="K51" s="57">
        <v>1451</v>
      </c>
      <c r="L51" s="57">
        <v>15635</v>
      </c>
      <c r="M51" s="58">
        <v>5097</v>
      </c>
      <c r="N51" s="57">
        <v>47507</v>
      </c>
      <c r="O51" s="57">
        <v>45405</v>
      </c>
      <c r="P51" s="57">
        <v>6473</v>
      </c>
      <c r="Q51" s="57">
        <v>7627</v>
      </c>
      <c r="R51" s="57">
        <v>6338</v>
      </c>
      <c r="S51" s="60">
        <f t="shared" si="15"/>
        <v>361840</v>
      </c>
      <c r="T51" s="50">
        <f t="shared" si="13"/>
        <v>3.3565121660579296</v>
      </c>
    </row>
    <row r="52" spans="1:20" ht="16.5">
      <c r="A52" s="14" t="s">
        <v>59</v>
      </c>
      <c r="B52" s="94">
        <v>6935</v>
      </c>
      <c r="C52" s="57">
        <v>12776</v>
      </c>
      <c r="D52" s="57">
        <v>8441</v>
      </c>
      <c r="E52" s="57">
        <v>6858</v>
      </c>
      <c r="F52" s="94">
        <v>39052</v>
      </c>
      <c r="G52" s="94">
        <v>64296</v>
      </c>
      <c r="H52" s="94">
        <v>2410</v>
      </c>
      <c r="I52" s="94">
        <v>5275</v>
      </c>
      <c r="J52" s="57">
        <v>35461</v>
      </c>
      <c r="K52" s="57">
        <v>761</v>
      </c>
      <c r="L52" s="57">
        <v>26777</v>
      </c>
      <c r="M52" s="58">
        <v>3296</v>
      </c>
      <c r="N52" s="57">
        <v>70537</v>
      </c>
      <c r="O52" s="57">
        <v>47624</v>
      </c>
      <c r="P52" s="57">
        <v>25191</v>
      </c>
      <c r="Q52" s="57">
        <v>4168</v>
      </c>
      <c r="R52" s="57">
        <v>3462</v>
      </c>
      <c r="S52" s="60">
        <f t="shared" si="15"/>
        <v>363320</v>
      </c>
      <c r="T52" s="50">
        <f t="shared" si="13"/>
        <v>3.3702409909688451</v>
      </c>
    </row>
    <row r="53" spans="1:20" ht="16.5">
      <c r="A53" s="14" t="s">
        <v>60</v>
      </c>
      <c r="B53" s="94">
        <v>149</v>
      </c>
      <c r="C53" s="57">
        <v>812</v>
      </c>
      <c r="D53" s="57">
        <v>0</v>
      </c>
      <c r="E53" s="57"/>
      <c r="F53" s="57">
        <v>0</v>
      </c>
      <c r="G53" s="94">
        <v>1715</v>
      </c>
      <c r="H53" s="57">
        <v>0</v>
      </c>
      <c r="I53" s="94">
        <v>56</v>
      </c>
      <c r="J53" s="57">
        <v>1150</v>
      </c>
      <c r="K53" s="57">
        <v>34</v>
      </c>
      <c r="L53" s="57">
        <v>5</v>
      </c>
      <c r="M53" s="58">
        <v>0</v>
      </c>
      <c r="N53" s="57">
        <v>1488</v>
      </c>
      <c r="O53" s="57">
        <v>1793</v>
      </c>
      <c r="P53" s="57">
        <v>20</v>
      </c>
      <c r="Q53" s="57"/>
      <c r="R53" s="57">
        <v>15</v>
      </c>
      <c r="S53" s="60">
        <f t="shared" si="15"/>
        <v>7237</v>
      </c>
      <c r="T53" s="50">
        <f t="shared" si="13"/>
        <v>6.7132098567768167E-2</v>
      </c>
    </row>
    <row r="54" spans="1:20" ht="16.5">
      <c r="A54" s="16" t="s">
        <v>61</v>
      </c>
      <c r="B54" s="62">
        <f t="shared" ref="B54:R54" si="21">SUM(B51:B53)</f>
        <v>20141</v>
      </c>
      <c r="C54" s="62">
        <f t="shared" si="21"/>
        <v>28155</v>
      </c>
      <c r="D54" s="62">
        <f t="shared" si="21"/>
        <v>17557</v>
      </c>
      <c r="E54" s="62">
        <f t="shared" si="21"/>
        <v>9986</v>
      </c>
      <c r="F54" s="62">
        <f t="shared" si="21"/>
        <v>73637</v>
      </c>
      <c r="G54" s="62">
        <f t="shared" si="21"/>
        <v>171062</v>
      </c>
      <c r="H54" s="62">
        <f t="shared" si="21"/>
        <v>7634</v>
      </c>
      <c r="I54" s="62">
        <f t="shared" si="21"/>
        <v>13511</v>
      </c>
      <c r="J54" s="62">
        <f t="shared" si="21"/>
        <v>70010</v>
      </c>
      <c r="K54" s="62">
        <f t="shared" si="21"/>
        <v>2246</v>
      </c>
      <c r="L54" s="62">
        <f>SUM(L51:L53)</f>
        <v>42417</v>
      </c>
      <c r="M54" s="62">
        <f t="shared" si="21"/>
        <v>8393</v>
      </c>
      <c r="N54" s="62">
        <f t="shared" si="21"/>
        <v>119532</v>
      </c>
      <c r="O54" s="62">
        <f t="shared" si="21"/>
        <v>94822</v>
      </c>
      <c r="P54" s="62">
        <f t="shared" ref="P54" si="22">SUM(P51:P53)</f>
        <v>31684</v>
      </c>
      <c r="Q54" s="62">
        <f t="shared" si="21"/>
        <v>11795</v>
      </c>
      <c r="R54" s="62">
        <f t="shared" si="21"/>
        <v>9815</v>
      </c>
      <c r="S54" s="62">
        <f t="shared" si="15"/>
        <v>732397</v>
      </c>
      <c r="T54" s="51">
        <f t="shared" si="13"/>
        <v>6.7938852555945424</v>
      </c>
    </row>
    <row r="55" spans="1:20" ht="16.5">
      <c r="A55" s="20" t="s">
        <v>62</v>
      </c>
      <c r="B55" s="94">
        <v>554</v>
      </c>
      <c r="C55" s="57">
        <v>2467</v>
      </c>
      <c r="D55" s="57">
        <v>152</v>
      </c>
      <c r="E55" s="57">
        <v>88</v>
      </c>
      <c r="F55" s="94">
        <v>1309</v>
      </c>
      <c r="G55" s="94">
        <v>6993</v>
      </c>
      <c r="H55" s="94">
        <v>89</v>
      </c>
      <c r="I55" s="94">
        <v>274</v>
      </c>
      <c r="J55" s="57">
        <v>3536</v>
      </c>
      <c r="K55" s="57">
        <v>446</v>
      </c>
      <c r="L55" s="57">
        <v>793</v>
      </c>
      <c r="M55" s="58">
        <v>427</v>
      </c>
      <c r="N55" s="57">
        <v>25513</v>
      </c>
      <c r="O55" s="57">
        <v>1697</v>
      </c>
      <c r="P55" s="57">
        <v>315</v>
      </c>
      <c r="Q55" s="57"/>
      <c r="R55" s="57">
        <v>1061</v>
      </c>
      <c r="S55" s="60">
        <f t="shared" si="15"/>
        <v>45714</v>
      </c>
      <c r="T55" s="52">
        <f t="shared" si="13"/>
        <v>0.42405371755243249</v>
      </c>
    </row>
    <row r="56" spans="1:20" ht="16.5">
      <c r="A56" s="14" t="s">
        <v>63</v>
      </c>
      <c r="B56" s="94">
        <v>1621</v>
      </c>
      <c r="C56" s="57">
        <v>4683</v>
      </c>
      <c r="D56" s="57">
        <v>268</v>
      </c>
      <c r="E56" s="57">
        <v>208</v>
      </c>
      <c r="F56" s="94">
        <v>5456</v>
      </c>
      <c r="G56" s="94">
        <v>12984</v>
      </c>
      <c r="H56" s="94">
        <v>365</v>
      </c>
      <c r="I56" s="94">
        <v>1107</v>
      </c>
      <c r="J56" s="57">
        <v>11325</v>
      </c>
      <c r="K56" s="57">
        <v>679</v>
      </c>
      <c r="L56" s="57">
        <v>1265</v>
      </c>
      <c r="M56" s="58">
        <v>567</v>
      </c>
      <c r="N56" s="57">
        <v>58505</v>
      </c>
      <c r="O56" s="57">
        <v>5596</v>
      </c>
      <c r="P56" s="57">
        <f>801+159</f>
        <v>960</v>
      </c>
      <c r="Q56" s="57"/>
      <c r="R56" s="57">
        <v>2258</v>
      </c>
      <c r="S56" s="60">
        <f t="shared" si="15"/>
        <v>107847</v>
      </c>
      <c r="T56" s="50">
        <f t="shared" si="13"/>
        <v>1.0004139055185979</v>
      </c>
    </row>
    <row r="57" spans="1:20" ht="16.5">
      <c r="A57" s="16" t="s">
        <v>64</v>
      </c>
      <c r="B57" s="62">
        <f>+B56+B55</f>
        <v>2175</v>
      </c>
      <c r="C57" s="62">
        <f>+C56+C55</f>
        <v>7150</v>
      </c>
      <c r="D57" s="62">
        <f>+D56+D55</f>
        <v>420</v>
      </c>
      <c r="E57" s="62">
        <f>SUM(E55:E56)</f>
        <v>296</v>
      </c>
      <c r="F57" s="62">
        <f>SUM(F55:F56)</f>
        <v>6765</v>
      </c>
      <c r="G57" s="62">
        <f>+G56+G55</f>
        <v>19977</v>
      </c>
      <c r="H57" s="62">
        <f t="shared" ref="H57:N57" si="23">SUM(H55:H56)</f>
        <v>454</v>
      </c>
      <c r="I57" s="62">
        <f t="shared" si="23"/>
        <v>1381</v>
      </c>
      <c r="J57" s="62">
        <f t="shared" si="23"/>
        <v>14861</v>
      </c>
      <c r="K57" s="62">
        <f t="shared" si="23"/>
        <v>1125</v>
      </c>
      <c r="L57" s="62">
        <f>SUM(L55:L56)</f>
        <v>2058</v>
      </c>
      <c r="M57" s="62">
        <f t="shared" si="23"/>
        <v>994</v>
      </c>
      <c r="N57" s="62">
        <f t="shared" si="23"/>
        <v>84018</v>
      </c>
      <c r="O57" s="62">
        <f>+O56+O55</f>
        <v>7293</v>
      </c>
      <c r="P57" s="62">
        <f>+P56+P55</f>
        <v>1275</v>
      </c>
      <c r="Q57" s="62">
        <f>Q55+Q56</f>
        <v>0</v>
      </c>
      <c r="R57" s="62">
        <f>SUM(R55:R56)</f>
        <v>3319</v>
      </c>
      <c r="S57" s="62">
        <f t="shared" si="15"/>
        <v>153561</v>
      </c>
      <c r="T57" s="51">
        <f t="shared" si="13"/>
        <v>1.4244676230710305</v>
      </c>
    </row>
    <row r="58" spans="1:20" ht="16.5">
      <c r="A58" s="14" t="s">
        <v>66</v>
      </c>
      <c r="B58" s="94">
        <v>16</v>
      </c>
      <c r="C58" s="57">
        <v>59</v>
      </c>
      <c r="D58" s="57">
        <v>0</v>
      </c>
      <c r="E58" s="57">
        <v>0</v>
      </c>
      <c r="F58" s="57">
        <v>0</v>
      </c>
      <c r="G58" s="94">
        <v>304</v>
      </c>
      <c r="H58" s="57">
        <v>0</v>
      </c>
      <c r="I58" s="57">
        <v>0</v>
      </c>
      <c r="J58" s="57">
        <v>0</v>
      </c>
      <c r="K58" s="57">
        <v>22</v>
      </c>
      <c r="L58" s="57">
        <v>20</v>
      </c>
      <c r="M58" s="58">
        <v>7</v>
      </c>
      <c r="N58" s="57">
        <v>0</v>
      </c>
      <c r="O58" s="57">
        <v>17</v>
      </c>
      <c r="P58" s="57">
        <v>0</v>
      </c>
      <c r="Q58" s="57"/>
      <c r="R58" s="57">
        <v>122</v>
      </c>
      <c r="S58" s="60">
        <f t="shared" si="15"/>
        <v>567</v>
      </c>
      <c r="T58" s="50">
        <f t="shared" si="13"/>
        <v>5.2596241381683779E-3</v>
      </c>
    </row>
    <row r="59" spans="1:20" ht="16.5">
      <c r="A59" s="14" t="s">
        <v>67</v>
      </c>
      <c r="B59" s="94">
        <v>0</v>
      </c>
      <c r="C59" s="57">
        <v>0</v>
      </c>
      <c r="D59" s="57">
        <v>0</v>
      </c>
      <c r="E59" s="57">
        <v>0</v>
      </c>
      <c r="F59" s="57">
        <v>0</v>
      </c>
      <c r="G59" s="94">
        <v>970</v>
      </c>
      <c r="H59" s="57">
        <v>0</v>
      </c>
      <c r="I59" s="57">
        <v>0</v>
      </c>
      <c r="J59" s="57">
        <v>0</v>
      </c>
      <c r="K59" s="57">
        <v>0</v>
      </c>
      <c r="L59" s="57">
        <v>1</v>
      </c>
      <c r="M59" s="58">
        <v>22</v>
      </c>
      <c r="N59" s="57">
        <v>0</v>
      </c>
      <c r="O59" s="57">
        <v>0</v>
      </c>
      <c r="P59" s="57">
        <v>40</v>
      </c>
      <c r="Q59" s="57"/>
      <c r="R59" s="57">
        <v>0</v>
      </c>
      <c r="S59" s="60">
        <f t="shared" si="15"/>
        <v>1033</v>
      </c>
      <c r="T59" s="50">
        <f t="shared" si="13"/>
        <v>9.58234873849724E-3</v>
      </c>
    </row>
    <row r="60" spans="1:20" ht="16.5">
      <c r="A60" s="24" t="s">
        <v>65</v>
      </c>
      <c r="B60" s="94">
        <v>68</v>
      </c>
      <c r="C60" s="57">
        <v>0</v>
      </c>
      <c r="D60" s="57">
        <v>0</v>
      </c>
      <c r="E60" s="57">
        <v>0</v>
      </c>
      <c r="F60" s="57">
        <v>0</v>
      </c>
      <c r="G60" s="94">
        <v>1792</v>
      </c>
      <c r="H60" s="57">
        <v>0</v>
      </c>
      <c r="I60" s="57">
        <v>0</v>
      </c>
      <c r="J60" s="57">
        <v>0</v>
      </c>
      <c r="K60" s="57">
        <v>0</v>
      </c>
      <c r="L60" s="57">
        <v>0</v>
      </c>
      <c r="M60" s="58">
        <v>0</v>
      </c>
      <c r="N60" s="57">
        <v>0</v>
      </c>
      <c r="O60" s="57">
        <v>0</v>
      </c>
      <c r="P60" s="57">
        <v>0</v>
      </c>
      <c r="Q60" s="57"/>
      <c r="R60" s="57">
        <v>0</v>
      </c>
      <c r="S60" s="60">
        <f t="shared" si="15"/>
        <v>1860</v>
      </c>
      <c r="T60" s="50">
        <f t="shared" si="13"/>
        <v>1.7253793469123781E-2</v>
      </c>
    </row>
    <row r="61" spans="1:20" ht="16.5">
      <c r="A61" s="14" t="s">
        <v>46</v>
      </c>
      <c r="B61" s="94">
        <v>61</v>
      </c>
      <c r="C61" s="94">
        <v>144</v>
      </c>
      <c r="D61" s="94">
        <v>7</v>
      </c>
      <c r="E61" s="94">
        <v>3</v>
      </c>
      <c r="F61" s="94">
        <v>0</v>
      </c>
      <c r="G61" s="94">
        <v>1223</v>
      </c>
      <c r="H61" s="94">
        <v>0</v>
      </c>
      <c r="I61" s="94">
        <v>0</v>
      </c>
      <c r="J61" s="94">
        <v>506</v>
      </c>
      <c r="K61" s="94">
        <v>99</v>
      </c>
      <c r="L61" s="94">
        <v>58</v>
      </c>
      <c r="M61" s="94">
        <v>30</v>
      </c>
      <c r="N61" s="94">
        <v>0</v>
      </c>
      <c r="O61" s="94">
        <v>49</v>
      </c>
      <c r="P61" s="94">
        <v>48</v>
      </c>
      <c r="Q61" s="94"/>
      <c r="R61" s="94">
        <v>0</v>
      </c>
      <c r="S61" s="60">
        <f>SUM(B61:R61)</f>
        <v>2228</v>
      </c>
      <c r="T61" s="50">
        <f t="shared" si="13"/>
        <v>2.066744723075687E-2</v>
      </c>
    </row>
    <row r="62" spans="1:20" ht="16.5">
      <c r="A62" s="14" t="s">
        <v>68</v>
      </c>
      <c r="B62" s="94">
        <v>225</v>
      </c>
      <c r="C62" s="57">
        <v>27</v>
      </c>
      <c r="D62" s="57">
        <v>0</v>
      </c>
      <c r="E62" s="57">
        <v>0</v>
      </c>
      <c r="F62" s="57">
        <v>0</v>
      </c>
      <c r="G62" s="94">
        <v>171</v>
      </c>
      <c r="H62" s="57">
        <v>0</v>
      </c>
      <c r="I62" s="57">
        <v>0</v>
      </c>
      <c r="J62" s="57">
        <v>90</v>
      </c>
      <c r="K62" s="57">
        <v>17</v>
      </c>
      <c r="L62" s="57">
        <v>2</v>
      </c>
      <c r="M62" s="58">
        <v>0</v>
      </c>
      <c r="N62" s="57">
        <v>0</v>
      </c>
      <c r="O62" s="57">
        <v>5</v>
      </c>
      <c r="P62" s="57">
        <v>1</v>
      </c>
      <c r="Q62" s="57"/>
      <c r="R62" s="57">
        <v>0</v>
      </c>
      <c r="S62" s="60">
        <f t="shared" si="15"/>
        <v>538</v>
      </c>
      <c r="T62" s="50">
        <f t="shared" si="13"/>
        <v>4.9906133797788139E-3</v>
      </c>
    </row>
    <row r="63" spans="1:20" ht="16.5">
      <c r="A63" s="14" t="s">
        <v>76</v>
      </c>
      <c r="B63" s="94">
        <v>3229</v>
      </c>
      <c r="C63" s="57">
        <v>2971</v>
      </c>
      <c r="D63" s="57">
        <v>4720</v>
      </c>
      <c r="E63" s="57">
        <v>992</v>
      </c>
      <c r="F63" s="57">
        <v>0</v>
      </c>
      <c r="G63" s="94">
        <v>16694</v>
      </c>
      <c r="H63" s="94">
        <v>22</v>
      </c>
      <c r="I63" s="94">
        <v>780</v>
      </c>
      <c r="J63" s="57">
        <v>3811</v>
      </c>
      <c r="K63" s="57">
        <v>575</v>
      </c>
      <c r="L63" s="57">
        <v>8956</v>
      </c>
      <c r="M63" s="58">
        <v>1413</v>
      </c>
      <c r="N63" s="57">
        <v>0</v>
      </c>
      <c r="O63" s="57">
        <v>1465</v>
      </c>
      <c r="P63" s="57">
        <v>4949</v>
      </c>
      <c r="Q63" s="57">
        <v>8737</v>
      </c>
      <c r="R63" s="57">
        <v>6045</v>
      </c>
      <c r="S63" s="60">
        <f t="shared" si="15"/>
        <v>65359</v>
      </c>
      <c r="T63" s="50">
        <f t="shared" si="13"/>
        <v>0.60628531577874256</v>
      </c>
    </row>
    <row r="64" spans="1:20" ht="16.5">
      <c r="A64" s="83" t="s">
        <v>72</v>
      </c>
      <c r="B64" s="95">
        <v>187</v>
      </c>
      <c r="C64" s="84">
        <v>842</v>
      </c>
      <c r="D64" s="84">
        <v>490</v>
      </c>
      <c r="E64" s="84">
        <v>2215</v>
      </c>
      <c r="F64" s="84">
        <f>23823</f>
        <v>23823</v>
      </c>
      <c r="G64" s="95">
        <f>1796+370+89+1039+10512</f>
        <v>13806</v>
      </c>
      <c r="H64" s="84">
        <v>29</v>
      </c>
      <c r="I64" s="84">
        <v>28</v>
      </c>
      <c r="J64" s="57">
        <v>175</v>
      </c>
      <c r="K64" s="84">
        <f>86+85+13+14+11+18+16+26+5</f>
        <v>274</v>
      </c>
      <c r="L64" s="84">
        <v>7947</v>
      </c>
      <c r="M64" s="85">
        <v>10</v>
      </c>
      <c r="N64" s="84">
        <f>26086+1938+850+18415</f>
        <v>47289</v>
      </c>
      <c r="O64" s="84">
        <f>933+118+86+1+13+9+1</f>
        <v>1161</v>
      </c>
      <c r="P64" s="84">
        <f>1640+260+7+20+6+171+28</f>
        <v>2132</v>
      </c>
      <c r="Q64" s="84">
        <f>3720+2838+9669</f>
        <v>16227</v>
      </c>
      <c r="R64" s="84">
        <v>1839</v>
      </c>
      <c r="S64" s="86">
        <f t="shared" si="15"/>
        <v>118474</v>
      </c>
      <c r="T64" s="50">
        <f t="shared" si="13"/>
        <v>1.0989924341188015</v>
      </c>
    </row>
    <row r="65" spans="1:20" ht="16.5">
      <c r="A65" s="87" t="s">
        <v>14</v>
      </c>
      <c r="B65" s="87">
        <f t="shared" ref="B65:R65" si="24">SUM(B13,B14,B15,B18,B22,B32,B43,B46,B50,B54,B57,B58:B64)</f>
        <v>248740</v>
      </c>
      <c r="C65" s="87">
        <f t="shared" si="24"/>
        <v>431491</v>
      </c>
      <c r="D65" s="87">
        <f t="shared" si="24"/>
        <v>198124</v>
      </c>
      <c r="E65" s="87">
        <f t="shared" si="24"/>
        <v>96418</v>
      </c>
      <c r="F65" s="87">
        <f t="shared" si="24"/>
        <v>1650118</v>
      </c>
      <c r="G65" s="87">
        <f t="shared" si="24"/>
        <v>2917678</v>
      </c>
      <c r="H65" s="87">
        <f t="shared" si="24"/>
        <v>80977</v>
      </c>
      <c r="I65" s="87">
        <f t="shared" si="24"/>
        <v>88325</v>
      </c>
      <c r="J65" s="87">
        <f t="shared" si="24"/>
        <v>1376718</v>
      </c>
      <c r="K65" s="87">
        <f t="shared" si="24"/>
        <v>45189</v>
      </c>
      <c r="L65" s="87">
        <f t="shared" si="24"/>
        <v>356051</v>
      </c>
      <c r="M65" s="87">
        <f t="shared" si="24"/>
        <v>145417</v>
      </c>
      <c r="N65" s="87">
        <f t="shared" si="24"/>
        <v>1631064</v>
      </c>
      <c r="O65" s="87">
        <f t="shared" si="24"/>
        <v>851210</v>
      </c>
      <c r="P65" s="87">
        <f t="shared" si="24"/>
        <v>292024</v>
      </c>
      <c r="Q65" s="87">
        <f t="shared" si="24"/>
        <v>133866</v>
      </c>
      <c r="R65" s="87">
        <f t="shared" si="24"/>
        <v>236828</v>
      </c>
      <c r="S65" s="87">
        <f>SUM(B65:R65)</f>
        <v>10780238</v>
      </c>
      <c r="T65" s="53">
        <f t="shared" si="13"/>
        <v>100</v>
      </c>
    </row>
    <row r="66" spans="1:20" ht="17.25">
      <c r="A66" s="76" t="s">
        <v>92</v>
      </c>
      <c r="B66" s="76" t="s">
        <v>115</v>
      </c>
      <c r="C66" s="77"/>
      <c r="D66" s="77"/>
      <c r="E66" s="77"/>
      <c r="F66" s="77"/>
      <c r="G66" s="77"/>
      <c r="H66" s="77"/>
      <c r="I66" s="77"/>
      <c r="J66" s="38"/>
      <c r="K66" s="77"/>
      <c r="L66" s="77"/>
      <c r="M66" s="77"/>
      <c r="N66" s="77"/>
      <c r="O66" s="77"/>
      <c r="P66" s="77"/>
      <c r="Q66" s="77"/>
      <c r="R66" s="77"/>
      <c r="S66" s="77"/>
      <c r="T66" s="78"/>
    </row>
    <row r="67" spans="1:20" ht="17.25">
      <c r="A67" s="76" t="s">
        <v>94</v>
      </c>
      <c r="B67" s="6"/>
      <c r="C67" s="6"/>
      <c r="D67" s="6"/>
      <c r="E67" s="6"/>
      <c r="F67" s="6"/>
      <c r="G67" s="7"/>
      <c r="H67" s="6"/>
      <c r="I67" s="6"/>
      <c r="J67" s="6"/>
      <c r="K67" s="6"/>
      <c r="L67" s="6"/>
      <c r="M67" s="8"/>
      <c r="N67" s="6"/>
      <c r="O67" s="6"/>
      <c r="P67" s="6"/>
      <c r="Q67" s="6"/>
      <c r="R67" s="6"/>
      <c r="S67" s="9"/>
      <c r="T67" s="73" t="s">
        <v>73</v>
      </c>
    </row>
    <row r="68" spans="1:20">
      <c r="M68" s="99"/>
    </row>
  </sheetData>
  <pageMargins left="0.7" right="0.7" top="0.75" bottom="0.75" header="0.3" footer="0.3"/>
  <pageSetup paperSize="9" orientation="portrait" verticalDpi="0" r:id="rId1"/>
  <ignoredErrors>
    <ignoredError sqref="I1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E9991-E22D-43AB-9BDC-8C01EAF93A5E}">
  <sheetPr>
    <pageSetUpPr fitToPage="1"/>
  </sheetPr>
  <dimension ref="A1:W71"/>
  <sheetViews>
    <sheetView showGridLines="0" topLeftCell="G1" zoomScaleNormal="100" workbookViewId="0">
      <pane ySplit="4" topLeftCell="A5" activePane="bottomLeft" state="frozenSplit"/>
      <selection activeCell="O34" sqref="O34"/>
      <selection pane="bottomLeft" activeCell="Q21" sqref="Q21"/>
    </sheetView>
  </sheetViews>
  <sheetFormatPr defaultColWidth="9.28515625" defaultRowHeight="15"/>
  <cols>
    <col min="1" max="1" width="24" style="2" customWidth="1"/>
    <col min="2" max="6" width="11.5703125" style="2" customWidth="1"/>
    <col min="7" max="7" width="11.5703125" style="3" customWidth="1"/>
    <col min="8" max="12" width="11.5703125" style="2" customWidth="1"/>
    <col min="13" max="13" width="11.5703125" style="3" customWidth="1"/>
    <col min="14" max="19" width="11.5703125" style="2" customWidth="1"/>
    <col min="20" max="20" width="8.42578125" style="71" customWidth="1"/>
    <col min="21" max="21" width="9.28515625" style="2" customWidth="1"/>
    <col min="22" max="16384" width="9.28515625" style="2"/>
  </cols>
  <sheetData>
    <row r="1" spans="1:21" ht="22.9" customHeight="1">
      <c r="B1" s="1" t="s">
        <v>108</v>
      </c>
    </row>
    <row r="2" spans="1:21" ht="15.75">
      <c r="B2" s="5" t="s">
        <v>109</v>
      </c>
      <c r="C2" s="6"/>
      <c r="D2" s="6"/>
      <c r="E2" s="6"/>
      <c r="F2" s="6"/>
      <c r="G2" s="7"/>
      <c r="H2" s="6"/>
      <c r="I2" s="6"/>
      <c r="J2" s="6"/>
      <c r="K2" s="6"/>
      <c r="L2" s="6"/>
      <c r="M2" s="8"/>
      <c r="N2" s="6"/>
      <c r="O2" s="6"/>
      <c r="P2" s="6"/>
      <c r="Q2" s="6"/>
      <c r="R2" s="6"/>
      <c r="S2" s="47"/>
      <c r="T2" s="72"/>
      <c r="U2" s="6"/>
    </row>
    <row r="3" spans="1:21" ht="10.5" customHeight="1">
      <c r="A3" s="6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9"/>
      <c r="T3" s="72"/>
      <c r="U3" s="6"/>
    </row>
    <row r="4" spans="1:21" ht="20.25" customHeight="1">
      <c r="A4" s="80" t="s">
        <v>0</v>
      </c>
      <c r="B4" s="81" t="s">
        <v>1</v>
      </c>
      <c r="C4" s="81" t="s">
        <v>2</v>
      </c>
      <c r="D4" s="81" t="s">
        <v>82</v>
      </c>
      <c r="E4" s="81" t="s">
        <v>79</v>
      </c>
      <c r="F4" s="81" t="s">
        <v>3</v>
      </c>
      <c r="G4" s="81" t="s">
        <v>80</v>
      </c>
      <c r="H4" s="81" t="s">
        <v>4</v>
      </c>
      <c r="I4" s="81" t="s">
        <v>5</v>
      </c>
      <c r="J4" s="81" t="s">
        <v>81</v>
      </c>
      <c r="K4" s="81" t="s">
        <v>6</v>
      </c>
      <c r="L4" s="81" t="s">
        <v>7</v>
      </c>
      <c r="M4" s="81" t="s">
        <v>8</v>
      </c>
      <c r="N4" s="81" t="s">
        <v>9</v>
      </c>
      <c r="O4" s="81" t="s">
        <v>10</v>
      </c>
      <c r="P4" s="81" t="s">
        <v>11</v>
      </c>
      <c r="Q4" s="81" t="s">
        <v>12</v>
      </c>
      <c r="R4" s="81" t="s">
        <v>13</v>
      </c>
      <c r="S4" s="81" t="s">
        <v>85</v>
      </c>
      <c r="T4" s="81" t="s">
        <v>15</v>
      </c>
      <c r="U4" s="11"/>
    </row>
    <row r="5" spans="1:21">
      <c r="A5" s="12" t="s">
        <v>16</v>
      </c>
      <c r="B5" s="54">
        <v>12591</v>
      </c>
      <c r="C5" s="54">
        <v>31183</v>
      </c>
      <c r="D5" s="54">
        <v>10538</v>
      </c>
      <c r="E5" s="54">
        <v>3555</v>
      </c>
      <c r="F5" s="54">
        <v>57533</v>
      </c>
      <c r="G5" s="54">
        <v>267195</v>
      </c>
      <c r="H5" s="54">
        <v>4020</v>
      </c>
      <c r="I5" s="54">
        <v>4582</v>
      </c>
      <c r="J5" s="54">
        <v>64473</v>
      </c>
      <c r="K5" s="54">
        <v>3813</v>
      </c>
      <c r="L5" s="54">
        <v>15827</v>
      </c>
      <c r="M5" s="55">
        <v>3696</v>
      </c>
      <c r="N5" s="54">
        <v>138924</v>
      </c>
      <c r="O5" s="54">
        <v>51114</v>
      </c>
      <c r="P5" s="54">
        <v>19922</v>
      </c>
      <c r="Q5" s="54">
        <v>7393</v>
      </c>
      <c r="R5" s="54">
        <v>18703</v>
      </c>
      <c r="S5" s="56">
        <f>SUM(B5:R5)</f>
        <v>715062</v>
      </c>
      <c r="T5" s="49">
        <f t="shared" ref="T5:T36" si="0">S5/S$65*100</f>
        <v>5.0028069260270049</v>
      </c>
      <c r="U5" s="6"/>
    </row>
    <row r="6" spans="1:21">
      <c r="A6" s="14" t="s">
        <v>77</v>
      </c>
      <c r="B6" s="57">
        <v>46</v>
      </c>
      <c r="C6" s="57">
        <v>96</v>
      </c>
      <c r="D6" s="57">
        <v>5</v>
      </c>
      <c r="E6" s="57">
        <v>6</v>
      </c>
      <c r="F6" s="57">
        <v>84</v>
      </c>
      <c r="G6" s="57">
        <v>739</v>
      </c>
      <c r="H6" s="57">
        <v>0</v>
      </c>
      <c r="I6" s="57">
        <v>7</v>
      </c>
      <c r="J6" s="57">
        <v>56</v>
      </c>
      <c r="K6" s="57">
        <v>31</v>
      </c>
      <c r="L6" s="57">
        <v>75</v>
      </c>
      <c r="M6" s="58">
        <v>21</v>
      </c>
      <c r="N6" s="57">
        <v>1595</v>
      </c>
      <c r="O6" s="57">
        <v>61</v>
      </c>
      <c r="P6" s="57">
        <v>30</v>
      </c>
      <c r="Q6" s="57">
        <v>0</v>
      </c>
      <c r="R6" s="57">
        <v>0</v>
      </c>
      <c r="S6" s="60">
        <f t="shared" ref="S6:S11" si="1">SUM(B6:R6)</f>
        <v>2852</v>
      </c>
      <c r="T6" s="50">
        <f t="shared" si="0"/>
        <v>1.9953522006523935E-2</v>
      </c>
      <c r="U6" s="6"/>
    </row>
    <row r="7" spans="1:21">
      <c r="A7" s="14" t="s">
        <v>18</v>
      </c>
      <c r="B7" s="57">
        <v>62</v>
      </c>
      <c r="C7" s="57">
        <v>33</v>
      </c>
      <c r="D7" s="57">
        <v>5</v>
      </c>
      <c r="E7" s="57">
        <v>2</v>
      </c>
      <c r="F7" s="57">
        <v>156</v>
      </c>
      <c r="G7" s="57">
        <v>671</v>
      </c>
      <c r="H7" s="57">
        <v>0</v>
      </c>
      <c r="I7" s="61">
        <v>0</v>
      </c>
      <c r="J7" s="57">
        <v>313</v>
      </c>
      <c r="K7" s="57">
        <v>61</v>
      </c>
      <c r="L7" s="57">
        <v>49</v>
      </c>
      <c r="M7" s="58">
        <v>19</v>
      </c>
      <c r="N7" s="57">
        <v>0</v>
      </c>
      <c r="O7" s="57">
        <v>44</v>
      </c>
      <c r="P7" s="57">
        <v>39</v>
      </c>
      <c r="Q7" s="57">
        <v>0</v>
      </c>
      <c r="R7" s="57">
        <v>0</v>
      </c>
      <c r="S7" s="60">
        <f t="shared" si="1"/>
        <v>1454</v>
      </c>
      <c r="T7" s="50">
        <f t="shared" si="0"/>
        <v>1.01726581337608E-2</v>
      </c>
      <c r="U7" s="6"/>
    </row>
    <row r="8" spans="1:21">
      <c r="A8" s="14" t="s">
        <v>69</v>
      </c>
      <c r="B8" s="57">
        <v>1375</v>
      </c>
      <c r="C8" s="57">
        <v>2754</v>
      </c>
      <c r="D8" s="57">
        <v>131</v>
      </c>
      <c r="E8" s="57">
        <v>200</v>
      </c>
      <c r="F8" s="57">
        <v>5572</v>
      </c>
      <c r="G8" s="57">
        <v>31433</v>
      </c>
      <c r="H8" s="57">
        <v>108</v>
      </c>
      <c r="I8" s="57">
        <v>67</v>
      </c>
      <c r="J8" s="57">
        <v>6735</v>
      </c>
      <c r="K8" s="57">
        <v>911</v>
      </c>
      <c r="L8" s="57">
        <v>1324</v>
      </c>
      <c r="M8" s="58">
        <v>749</v>
      </c>
      <c r="N8" s="57">
        <v>15257</v>
      </c>
      <c r="O8" s="57">
        <v>2635</v>
      </c>
      <c r="P8" s="57">
        <v>2275</v>
      </c>
      <c r="Q8" s="57">
        <v>0</v>
      </c>
      <c r="R8" s="57">
        <v>3860</v>
      </c>
      <c r="S8" s="60">
        <f t="shared" si="1"/>
        <v>75386</v>
      </c>
      <c r="T8" s="50">
        <f t="shared" si="0"/>
        <v>0.52742503856374945</v>
      </c>
      <c r="U8" s="6"/>
    </row>
    <row r="9" spans="1:21">
      <c r="A9" s="14" t="s">
        <v>19</v>
      </c>
      <c r="B9" s="57">
        <v>19780</v>
      </c>
      <c r="C9" s="57">
        <v>10706</v>
      </c>
      <c r="D9" s="57">
        <v>5707</v>
      </c>
      <c r="E9" s="57">
        <v>2486</v>
      </c>
      <c r="F9" s="57">
        <v>37148</v>
      </c>
      <c r="G9" s="57">
        <v>138670</v>
      </c>
      <c r="H9" s="57">
        <v>3143</v>
      </c>
      <c r="I9" s="57">
        <v>4087</v>
      </c>
      <c r="J9" s="57">
        <v>26828</v>
      </c>
      <c r="K9" s="57">
        <v>1439</v>
      </c>
      <c r="L9" s="57">
        <v>10693</v>
      </c>
      <c r="M9" s="58">
        <v>11302</v>
      </c>
      <c r="N9" s="57">
        <v>68798</v>
      </c>
      <c r="O9" s="57">
        <v>111982</v>
      </c>
      <c r="P9" s="57">
        <v>9194</v>
      </c>
      <c r="Q9" s="57">
        <v>0</v>
      </c>
      <c r="R9" s="57">
        <v>14377</v>
      </c>
      <c r="S9" s="60">
        <f t="shared" si="1"/>
        <v>476340</v>
      </c>
      <c r="T9" s="50">
        <f t="shared" si="0"/>
        <v>3.3326299693504944</v>
      </c>
      <c r="U9" s="6"/>
    </row>
    <row r="10" spans="1:21">
      <c r="A10" s="14" t="s">
        <v>20</v>
      </c>
      <c r="B10" s="57">
        <v>27284</v>
      </c>
      <c r="C10" s="57">
        <v>20928</v>
      </c>
      <c r="D10" s="57">
        <v>15067</v>
      </c>
      <c r="E10" s="57">
        <v>11499</v>
      </c>
      <c r="F10" s="57">
        <v>36498</v>
      </c>
      <c r="G10" s="57">
        <v>208171</v>
      </c>
      <c r="H10" s="57">
        <v>3993</v>
      </c>
      <c r="I10" s="57">
        <v>9300</v>
      </c>
      <c r="J10" s="57">
        <v>26641</v>
      </c>
      <c r="K10" s="57">
        <v>2431</v>
      </c>
      <c r="L10" s="57">
        <v>18694</v>
      </c>
      <c r="M10" s="58">
        <v>1644</v>
      </c>
      <c r="N10" s="57">
        <v>75053</v>
      </c>
      <c r="O10" s="57">
        <v>29388</v>
      </c>
      <c r="P10" s="57">
        <v>18062</v>
      </c>
      <c r="Q10" s="57">
        <v>6991</v>
      </c>
      <c r="R10" s="57">
        <v>24103</v>
      </c>
      <c r="S10" s="60">
        <f t="shared" si="1"/>
        <v>535747</v>
      </c>
      <c r="T10" s="50">
        <f t="shared" si="0"/>
        <v>3.7482607133342136</v>
      </c>
      <c r="U10" s="6"/>
    </row>
    <row r="11" spans="1:21">
      <c r="A11" s="14" t="s">
        <v>21</v>
      </c>
      <c r="B11" s="57">
        <v>52646</v>
      </c>
      <c r="C11" s="57">
        <v>53106</v>
      </c>
      <c r="D11" s="57">
        <v>31104</v>
      </c>
      <c r="E11" s="57">
        <v>11807</v>
      </c>
      <c r="F11" s="57">
        <v>149105</v>
      </c>
      <c r="G11" s="57">
        <v>667518</v>
      </c>
      <c r="H11" s="57">
        <v>9463</v>
      </c>
      <c r="I11" s="57">
        <v>13499</v>
      </c>
      <c r="J11" s="57">
        <v>176875</v>
      </c>
      <c r="K11" s="57">
        <v>6663</v>
      </c>
      <c r="L11" s="57">
        <v>47452</v>
      </c>
      <c r="M11" s="58">
        <v>10371</v>
      </c>
      <c r="N11" s="57">
        <v>200771</v>
      </c>
      <c r="O11" s="57">
        <v>94328</v>
      </c>
      <c r="P11" s="57">
        <v>48945</v>
      </c>
      <c r="Q11" s="57">
        <v>18949</v>
      </c>
      <c r="R11" s="57">
        <v>34445</v>
      </c>
      <c r="S11" s="60">
        <f t="shared" si="1"/>
        <v>1627047</v>
      </c>
      <c r="T11" s="50">
        <f t="shared" si="0"/>
        <v>11.383351374526208</v>
      </c>
      <c r="U11" s="6"/>
    </row>
    <row r="12" spans="1:21">
      <c r="A12" s="16" t="s">
        <v>23</v>
      </c>
      <c r="B12" s="62">
        <f t="shared" ref="B12:R12" si="2">SUM(B5:B11)</f>
        <v>113784</v>
      </c>
      <c r="C12" s="62">
        <f t="shared" si="2"/>
        <v>118806</v>
      </c>
      <c r="D12" s="62">
        <f t="shared" si="2"/>
        <v>62557</v>
      </c>
      <c r="E12" s="62">
        <f>SUM(E5:E11)</f>
        <v>29555</v>
      </c>
      <c r="F12" s="62">
        <f t="shared" si="2"/>
        <v>286096</v>
      </c>
      <c r="G12" s="62">
        <f t="shared" si="2"/>
        <v>1314397</v>
      </c>
      <c r="H12" s="62">
        <f>SUM(H5:H11)</f>
        <v>20727</v>
      </c>
      <c r="I12" s="62">
        <f t="shared" si="2"/>
        <v>31542</v>
      </c>
      <c r="J12" s="62">
        <f>SUM(J5:J11)</f>
        <v>301921</v>
      </c>
      <c r="K12" s="62">
        <f t="shared" si="2"/>
        <v>15349</v>
      </c>
      <c r="L12" s="62">
        <f>SUM(L5:L11)</f>
        <v>94114</v>
      </c>
      <c r="M12" s="62">
        <f t="shared" si="2"/>
        <v>27802</v>
      </c>
      <c r="N12" s="62">
        <f t="shared" si="2"/>
        <v>500398</v>
      </c>
      <c r="O12" s="62">
        <f t="shared" si="2"/>
        <v>289552</v>
      </c>
      <c r="P12" s="62">
        <f t="shared" si="2"/>
        <v>98467</v>
      </c>
      <c r="Q12" s="62">
        <f t="shared" si="2"/>
        <v>33333</v>
      </c>
      <c r="R12" s="62">
        <f t="shared" si="2"/>
        <v>95488</v>
      </c>
      <c r="S12" s="62">
        <f t="shared" ref="S12:S42" si="3">SUM(B12:R12)</f>
        <v>3433888</v>
      </c>
      <c r="T12" s="51">
        <f t="shared" si="0"/>
        <v>24.024600201941958</v>
      </c>
      <c r="U12" s="6"/>
    </row>
    <row r="13" spans="1:21">
      <c r="A13" s="14" t="s">
        <v>24</v>
      </c>
      <c r="B13" s="57">
        <v>7682</v>
      </c>
      <c r="C13" s="57">
        <v>27476</v>
      </c>
      <c r="D13" s="57">
        <v>15646</v>
      </c>
      <c r="E13" s="57">
        <v>2023</v>
      </c>
      <c r="F13" s="57">
        <v>235110</v>
      </c>
      <c r="G13" s="57">
        <v>58840</v>
      </c>
      <c r="H13" s="57">
        <v>6963</v>
      </c>
      <c r="I13" s="57">
        <v>926</v>
      </c>
      <c r="J13" s="57">
        <v>86493</v>
      </c>
      <c r="K13" s="57">
        <v>1697</v>
      </c>
      <c r="L13" s="57">
        <v>14758</v>
      </c>
      <c r="M13" s="58">
        <v>14007</v>
      </c>
      <c r="N13" s="57">
        <v>50806</v>
      </c>
      <c r="O13" s="57">
        <v>67151</v>
      </c>
      <c r="P13" s="57">
        <v>3123</v>
      </c>
      <c r="Q13" s="57">
        <v>1562</v>
      </c>
      <c r="R13" s="57">
        <v>6073</v>
      </c>
      <c r="S13" s="60">
        <f t="shared" si="3"/>
        <v>600336</v>
      </c>
      <c r="T13" s="50">
        <f t="shared" si="0"/>
        <v>4.2001464191123956</v>
      </c>
      <c r="U13" s="6"/>
    </row>
    <row r="14" spans="1:21">
      <c r="A14" s="14" t="s">
        <v>87</v>
      </c>
      <c r="B14" s="57">
        <v>228</v>
      </c>
      <c r="C14" s="57">
        <v>2374</v>
      </c>
      <c r="D14" s="57">
        <v>825</v>
      </c>
      <c r="E14" s="57">
        <v>39</v>
      </c>
      <c r="F14" s="57">
        <v>26845</v>
      </c>
      <c r="G14" s="57">
        <v>2846</v>
      </c>
      <c r="H14" s="57">
        <v>0</v>
      </c>
      <c r="I14" s="57">
        <v>38</v>
      </c>
      <c r="J14" s="57">
        <v>4459</v>
      </c>
      <c r="K14" s="57">
        <v>470</v>
      </c>
      <c r="L14" s="57">
        <v>819</v>
      </c>
      <c r="M14" s="58">
        <v>607</v>
      </c>
      <c r="N14" s="57">
        <v>4299</v>
      </c>
      <c r="O14" s="57">
        <v>4399</v>
      </c>
      <c r="P14" s="57">
        <v>167</v>
      </c>
      <c r="Q14" s="57">
        <v>0</v>
      </c>
      <c r="R14" s="57">
        <v>555</v>
      </c>
      <c r="S14" s="60">
        <f t="shared" si="3"/>
        <v>48970</v>
      </c>
      <c r="T14" s="50">
        <f t="shared" si="0"/>
        <v>0.34261008859027947</v>
      </c>
      <c r="U14" s="6"/>
    </row>
    <row r="15" spans="1:21">
      <c r="A15" s="14" t="s">
        <v>25</v>
      </c>
      <c r="B15" s="57">
        <v>11350</v>
      </c>
      <c r="C15" s="57">
        <v>42832</v>
      </c>
      <c r="D15" s="57">
        <v>19139</v>
      </c>
      <c r="E15" s="57">
        <v>2497</v>
      </c>
      <c r="F15" s="57">
        <v>379582</v>
      </c>
      <c r="G15" s="57">
        <v>72709</v>
      </c>
      <c r="H15" s="57">
        <v>9827</v>
      </c>
      <c r="I15" s="57">
        <v>5634</v>
      </c>
      <c r="J15" s="57">
        <v>110060</v>
      </c>
      <c r="K15" s="57">
        <v>3332</v>
      </c>
      <c r="L15" s="57">
        <v>29318</v>
      </c>
      <c r="M15" s="58">
        <v>23668</v>
      </c>
      <c r="N15" s="57">
        <v>80851</v>
      </c>
      <c r="O15" s="57">
        <v>97939</v>
      </c>
      <c r="P15" s="57">
        <v>9891</v>
      </c>
      <c r="Q15" s="57">
        <v>3701</v>
      </c>
      <c r="R15" s="57">
        <v>8619</v>
      </c>
      <c r="S15" s="60">
        <f t="shared" si="3"/>
        <v>910949</v>
      </c>
      <c r="T15" s="50">
        <f t="shared" si="0"/>
        <v>6.3732962546707475</v>
      </c>
      <c r="U15" s="6"/>
    </row>
    <row r="16" spans="1:21">
      <c r="A16" s="14" t="s">
        <v>30</v>
      </c>
      <c r="B16" s="57">
        <v>17089</v>
      </c>
      <c r="C16" s="57">
        <v>31200</v>
      </c>
      <c r="D16" s="57">
        <v>7766</v>
      </c>
      <c r="E16" s="57">
        <v>5337</v>
      </c>
      <c r="F16" s="57">
        <v>66901</v>
      </c>
      <c r="G16" s="57">
        <v>215864</v>
      </c>
      <c r="H16" s="57">
        <v>7413</v>
      </c>
      <c r="I16" s="57">
        <v>4202</v>
      </c>
      <c r="J16" s="57">
        <v>96590</v>
      </c>
      <c r="K16" s="57">
        <v>1538</v>
      </c>
      <c r="L16" s="57">
        <v>32324</v>
      </c>
      <c r="M16" s="58">
        <v>10206</v>
      </c>
      <c r="N16" s="57">
        <v>159830</v>
      </c>
      <c r="O16" s="57">
        <v>69103</v>
      </c>
      <c r="P16" s="57">
        <v>2965</v>
      </c>
      <c r="Q16" s="57">
        <v>2419</v>
      </c>
      <c r="R16" s="57">
        <v>9851</v>
      </c>
      <c r="S16" s="60">
        <f t="shared" si="3"/>
        <v>740598</v>
      </c>
      <c r="T16" s="50">
        <f t="shared" si="0"/>
        <v>5.1814651090419401</v>
      </c>
      <c r="U16" s="6"/>
    </row>
    <row r="17" spans="1:23">
      <c r="A17" s="16" t="s">
        <v>26</v>
      </c>
      <c r="B17" s="62">
        <f>+B15+B14+B13+B16</f>
        <v>36349</v>
      </c>
      <c r="C17" s="62">
        <f t="shared" ref="C17:R17" si="4">+C15+C14+C13+C16</f>
        <v>103882</v>
      </c>
      <c r="D17" s="62">
        <f t="shared" si="4"/>
        <v>43376</v>
      </c>
      <c r="E17" s="62">
        <f t="shared" si="4"/>
        <v>9896</v>
      </c>
      <c r="F17" s="62">
        <f t="shared" si="4"/>
        <v>708438</v>
      </c>
      <c r="G17" s="62">
        <f t="shared" si="4"/>
        <v>350259</v>
      </c>
      <c r="H17" s="62">
        <f t="shared" si="4"/>
        <v>24203</v>
      </c>
      <c r="I17" s="62">
        <f t="shared" si="4"/>
        <v>10800</v>
      </c>
      <c r="J17" s="62">
        <f t="shared" si="4"/>
        <v>297602</v>
      </c>
      <c r="K17" s="62">
        <f t="shared" si="4"/>
        <v>7037</v>
      </c>
      <c r="L17" s="62">
        <f>+L15+L14+L13+L16</f>
        <v>77219</v>
      </c>
      <c r="M17" s="62">
        <f t="shared" si="4"/>
        <v>48488</v>
      </c>
      <c r="N17" s="62">
        <f t="shared" si="4"/>
        <v>295786</v>
      </c>
      <c r="O17" s="62">
        <f t="shared" si="4"/>
        <v>238592</v>
      </c>
      <c r="P17" s="62">
        <f t="shared" si="4"/>
        <v>16146</v>
      </c>
      <c r="Q17" s="62">
        <f t="shared" si="4"/>
        <v>7682</v>
      </c>
      <c r="R17" s="62">
        <f t="shared" si="4"/>
        <v>25098</v>
      </c>
      <c r="S17" s="62">
        <f t="shared" si="3"/>
        <v>2300853</v>
      </c>
      <c r="T17" s="51">
        <f t="shared" si="0"/>
        <v>16.097517871415363</v>
      </c>
      <c r="U17" s="6"/>
    </row>
    <row r="18" spans="1:23">
      <c r="A18" s="16" t="s">
        <v>27</v>
      </c>
      <c r="B18" s="62">
        <v>19354</v>
      </c>
      <c r="C18" s="62">
        <v>24075</v>
      </c>
      <c r="D18" s="62">
        <v>12550</v>
      </c>
      <c r="E18" s="62">
        <v>8126</v>
      </c>
      <c r="F18" s="62">
        <v>78838</v>
      </c>
      <c r="G18" s="62">
        <v>279719</v>
      </c>
      <c r="H18" s="62">
        <v>3886</v>
      </c>
      <c r="I18" s="62">
        <v>9635</v>
      </c>
      <c r="J18" s="62">
        <v>122581</v>
      </c>
      <c r="K18" s="62">
        <v>2517</v>
      </c>
      <c r="L18" s="62">
        <v>25295</v>
      </c>
      <c r="M18" s="63">
        <v>9015</v>
      </c>
      <c r="N18" s="62">
        <v>236137</v>
      </c>
      <c r="O18" s="62">
        <v>57169</v>
      </c>
      <c r="P18" s="62">
        <v>9181</v>
      </c>
      <c r="Q18" s="62">
        <v>3747</v>
      </c>
      <c r="R18" s="62">
        <v>14150</v>
      </c>
      <c r="S18" s="62">
        <f t="shared" si="3"/>
        <v>915975</v>
      </c>
      <c r="T18" s="51">
        <f t="shared" si="0"/>
        <v>6.4084597895952875</v>
      </c>
      <c r="U18" s="6"/>
    </row>
    <row r="19" spans="1:23">
      <c r="A19" s="16" t="s">
        <v>28</v>
      </c>
      <c r="B19" s="62">
        <v>4443</v>
      </c>
      <c r="C19" s="62">
        <v>21302</v>
      </c>
      <c r="D19" s="62">
        <v>5539</v>
      </c>
      <c r="E19" s="62">
        <v>9176</v>
      </c>
      <c r="F19" s="62">
        <v>21696</v>
      </c>
      <c r="G19" s="62">
        <v>53357</v>
      </c>
      <c r="H19" s="62">
        <v>1851</v>
      </c>
      <c r="I19" s="62">
        <v>1490</v>
      </c>
      <c r="J19" s="62">
        <v>20900</v>
      </c>
      <c r="K19" s="62">
        <v>2114</v>
      </c>
      <c r="L19" s="62">
        <v>16316</v>
      </c>
      <c r="M19" s="63">
        <v>5320</v>
      </c>
      <c r="N19" s="62">
        <v>56208</v>
      </c>
      <c r="O19" s="62">
        <v>16606</v>
      </c>
      <c r="P19" s="62">
        <v>65282</v>
      </c>
      <c r="Q19" s="62">
        <v>10056</v>
      </c>
      <c r="R19" s="62">
        <v>8858</v>
      </c>
      <c r="S19" s="62">
        <f t="shared" si="3"/>
        <v>320514</v>
      </c>
      <c r="T19" s="51">
        <f t="shared" si="0"/>
        <v>2.2424204601679567</v>
      </c>
      <c r="U19" s="6"/>
    </row>
    <row r="20" spans="1:23" s="38" customFormat="1">
      <c r="A20" s="39" t="s">
        <v>75</v>
      </c>
      <c r="B20" s="57">
        <v>0</v>
      </c>
      <c r="C20" s="57">
        <v>1</v>
      </c>
      <c r="D20" s="57">
        <v>0</v>
      </c>
      <c r="E20" s="57">
        <v>0</v>
      </c>
      <c r="F20" s="57">
        <v>13</v>
      </c>
      <c r="G20" s="57">
        <v>397</v>
      </c>
      <c r="H20" s="57">
        <v>0</v>
      </c>
      <c r="I20" s="57">
        <v>0</v>
      </c>
      <c r="J20" s="57">
        <v>0</v>
      </c>
      <c r="K20" s="57">
        <v>20</v>
      </c>
      <c r="L20" s="57">
        <v>9</v>
      </c>
      <c r="M20" s="58">
        <v>0</v>
      </c>
      <c r="N20" s="57">
        <v>0</v>
      </c>
      <c r="O20" s="57">
        <v>0</v>
      </c>
      <c r="P20" s="57">
        <v>28</v>
      </c>
      <c r="Q20" s="57">
        <v>0</v>
      </c>
      <c r="R20" s="57">
        <v>0</v>
      </c>
      <c r="S20" s="64">
        <f t="shared" si="3"/>
        <v>468</v>
      </c>
      <c r="T20" s="52">
        <f t="shared" si="0"/>
        <v>3.2742806097661994E-3</v>
      </c>
      <c r="U20" s="27"/>
      <c r="V20" s="2"/>
      <c r="W20" s="2"/>
    </row>
    <row r="21" spans="1:23">
      <c r="A21" s="14" t="s">
        <v>29</v>
      </c>
      <c r="B21" s="57">
        <v>5</v>
      </c>
      <c r="C21" s="57">
        <v>4</v>
      </c>
      <c r="D21" s="57">
        <v>0</v>
      </c>
      <c r="E21" s="57">
        <v>0</v>
      </c>
      <c r="F21" s="57">
        <v>52</v>
      </c>
      <c r="G21" s="57">
        <v>1373</v>
      </c>
      <c r="H21" s="57">
        <v>0</v>
      </c>
      <c r="I21" s="57">
        <v>0</v>
      </c>
      <c r="J21" s="57">
        <v>0</v>
      </c>
      <c r="K21" s="57">
        <v>65</v>
      </c>
      <c r="L21" s="57">
        <v>1</v>
      </c>
      <c r="M21" s="58">
        <v>0</v>
      </c>
      <c r="N21" s="57">
        <v>62</v>
      </c>
      <c r="O21" s="57">
        <v>0</v>
      </c>
      <c r="P21" s="57">
        <v>189</v>
      </c>
      <c r="Q21" s="57">
        <v>0</v>
      </c>
      <c r="R21" s="57">
        <v>0</v>
      </c>
      <c r="S21" s="60">
        <f t="shared" si="3"/>
        <v>1751</v>
      </c>
      <c r="T21" s="50">
        <f t="shared" si="0"/>
        <v>1.2250566982266271E-2</v>
      </c>
      <c r="U21" s="6"/>
    </row>
    <row r="22" spans="1:23">
      <c r="A22" s="16" t="s">
        <v>31</v>
      </c>
      <c r="B22" s="62">
        <f t="shared" ref="B22:R22" si="5">SUM(B20:B21)</f>
        <v>5</v>
      </c>
      <c r="C22" s="62">
        <f t="shared" si="5"/>
        <v>5</v>
      </c>
      <c r="D22" s="62">
        <f t="shared" si="5"/>
        <v>0</v>
      </c>
      <c r="E22" s="62">
        <f t="shared" si="5"/>
        <v>0</v>
      </c>
      <c r="F22" s="62">
        <f t="shared" si="5"/>
        <v>65</v>
      </c>
      <c r="G22" s="62">
        <f t="shared" si="5"/>
        <v>1770</v>
      </c>
      <c r="H22" s="62">
        <f t="shared" si="5"/>
        <v>0</v>
      </c>
      <c r="I22" s="62">
        <f t="shared" si="5"/>
        <v>0</v>
      </c>
      <c r="J22" s="62">
        <f t="shared" si="5"/>
        <v>0</v>
      </c>
      <c r="K22" s="62">
        <f t="shared" si="5"/>
        <v>85</v>
      </c>
      <c r="L22" s="62">
        <f t="shared" si="5"/>
        <v>10</v>
      </c>
      <c r="M22" s="62">
        <f t="shared" si="5"/>
        <v>0</v>
      </c>
      <c r="N22" s="62">
        <f t="shared" si="5"/>
        <v>62</v>
      </c>
      <c r="O22" s="62">
        <f t="shared" si="5"/>
        <v>0</v>
      </c>
      <c r="P22" s="62">
        <f t="shared" si="5"/>
        <v>217</v>
      </c>
      <c r="Q22" s="62">
        <f t="shared" si="5"/>
        <v>0</v>
      </c>
      <c r="R22" s="62">
        <f t="shared" si="5"/>
        <v>0</v>
      </c>
      <c r="S22" s="62">
        <f t="shared" si="3"/>
        <v>2219</v>
      </c>
      <c r="T22" s="51">
        <f t="shared" si="0"/>
        <v>1.5524847592032471E-2</v>
      </c>
      <c r="U22" s="9"/>
    </row>
    <row r="23" spans="1:23" s="3" customFormat="1">
      <c r="A23" s="20" t="s">
        <v>32</v>
      </c>
      <c r="B23" s="57">
        <v>9146</v>
      </c>
      <c r="C23" s="57">
        <v>21802</v>
      </c>
      <c r="D23" s="57">
        <v>2206</v>
      </c>
      <c r="E23" s="57">
        <v>1718</v>
      </c>
      <c r="F23" s="57">
        <v>138977</v>
      </c>
      <c r="G23" s="57">
        <v>80035</v>
      </c>
      <c r="H23" s="57">
        <v>1834</v>
      </c>
      <c r="I23" s="57">
        <v>3018</v>
      </c>
      <c r="J23" s="57">
        <v>84118</v>
      </c>
      <c r="K23" s="57">
        <v>813</v>
      </c>
      <c r="L23" s="57">
        <v>3076</v>
      </c>
      <c r="M23" s="58">
        <v>6548</v>
      </c>
      <c r="N23" s="57">
        <v>30951</v>
      </c>
      <c r="O23" s="57">
        <v>55689</v>
      </c>
      <c r="P23" s="57">
        <v>4448</v>
      </c>
      <c r="Q23" s="57">
        <v>0</v>
      </c>
      <c r="R23" s="57">
        <v>7995</v>
      </c>
      <c r="S23" s="60">
        <f t="shared" si="3"/>
        <v>452374</v>
      </c>
      <c r="T23" s="50">
        <f t="shared" si="0"/>
        <v>3.1649560182956726</v>
      </c>
      <c r="U23" s="21"/>
      <c r="V23" s="2"/>
      <c r="W23" s="2"/>
    </row>
    <row r="24" spans="1:23" s="3" customFormat="1">
      <c r="A24" s="20" t="s">
        <v>33</v>
      </c>
      <c r="B24" s="57">
        <v>17775</v>
      </c>
      <c r="C24" s="57">
        <v>48411</v>
      </c>
      <c r="D24" s="57">
        <v>11553</v>
      </c>
      <c r="E24" s="57">
        <v>3438</v>
      </c>
      <c r="F24" s="57">
        <v>407134</v>
      </c>
      <c r="G24" s="57">
        <v>131138</v>
      </c>
      <c r="H24" s="57">
        <v>4279</v>
      </c>
      <c r="I24" s="57">
        <v>6550</v>
      </c>
      <c r="J24" s="57">
        <v>113977</v>
      </c>
      <c r="K24" s="57">
        <v>3895</v>
      </c>
      <c r="L24" s="57">
        <v>26207</v>
      </c>
      <c r="M24" s="58">
        <v>29014</v>
      </c>
      <c r="N24" s="57">
        <v>59132</v>
      </c>
      <c r="O24" s="57">
        <v>86419</v>
      </c>
      <c r="P24" s="57">
        <v>11945</v>
      </c>
      <c r="Q24" s="57">
        <v>2457</v>
      </c>
      <c r="R24" s="57">
        <v>11718</v>
      </c>
      <c r="S24" s="60">
        <f t="shared" ref="S24" si="6">SUM(B24:R24)</f>
        <v>975042</v>
      </c>
      <c r="T24" s="50">
        <f t="shared" si="0"/>
        <v>6.8217117827086646</v>
      </c>
      <c r="U24" s="21"/>
      <c r="V24" s="2"/>
      <c r="W24" s="2"/>
    </row>
    <row r="25" spans="1:23">
      <c r="A25" s="20" t="s">
        <v>110</v>
      </c>
      <c r="B25" s="57">
        <v>0</v>
      </c>
      <c r="C25" s="57">
        <v>232</v>
      </c>
      <c r="D25" s="57">
        <v>0</v>
      </c>
      <c r="E25" s="57">
        <v>0</v>
      </c>
      <c r="F25" s="57">
        <v>3172</v>
      </c>
      <c r="G25" s="57">
        <v>324</v>
      </c>
      <c r="H25" s="57">
        <v>0</v>
      </c>
      <c r="I25" s="57">
        <v>0</v>
      </c>
      <c r="J25" s="57">
        <v>62</v>
      </c>
      <c r="K25" s="57">
        <v>81</v>
      </c>
      <c r="L25" s="57">
        <v>57</v>
      </c>
      <c r="M25" s="57">
        <v>24</v>
      </c>
      <c r="N25" s="57">
        <v>171</v>
      </c>
      <c r="O25" s="57">
        <v>39</v>
      </c>
      <c r="P25" s="57">
        <v>20</v>
      </c>
      <c r="Q25" s="57">
        <v>0</v>
      </c>
      <c r="R25" s="57">
        <v>183</v>
      </c>
      <c r="S25" s="60">
        <f t="shared" si="3"/>
        <v>4365</v>
      </c>
      <c r="T25" s="50">
        <f t="shared" si="0"/>
        <v>3.053896337955013E-2</v>
      </c>
      <c r="U25" s="6"/>
    </row>
    <row r="26" spans="1:23">
      <c r="A26" s="16" t="s">
        <v>34</v>
      </c>
      <c r="B26" s="62">
        <f t="shared" ref="B26:Q26" si="7">+B25+B23+B24</f>
        <v>26921</v>
      </c>
      <c r="C26" s="62">
        <f t="shared" si="7"/>
        <v>70445</v>
      </c>
      <c r="D26" s="62">
        <f t="shared" si="7"/>
        <v>13759</v>
      </c>
      <c r="E26" s="62">
        <f t="shared" si="7"/>
        <v>5156</v>
      </c>
      <c r="F26" s="62">
        <f t="shared" si="7"/>
        <v>549283</v>
      </c>
      <c r="G26" s="62">
        <f t="shared" si="7"/>
        <v>211497</v>
      </c>
      <c r="H26" s="62">
        <f t="shared" si="7"/>
        <v>6113</v>
      </c>
      <c r="I26" s="62">
        <f t="shared" si="7"/>
        <v>9568</v>
      </c>
      <c r="J26" s="62">
        <f t="shared" si="7"/>
        <v>198157</v>
      </c>
      <c r="K26" s="62">
        <f t="shared" si="7"/>
        <v>4789</v>
      </c>
      <c r="L26" s="62">
        <f t="shared" si="7"/>
        <v>29340</v>
      </c>
      <c r="M26" s="62">
        <f t="shared" si="7"/>
        <v>35586</v>
      </c>
      <c r="N26" s="62">
        <f t="shared" si="7"/>
        <v>90254</v>
      </c>
      <c r="O26" s="62">
        <f t="shared" si="7"/>
        <v>142147</v>
      </c>
      <c r="P26" s="62">
        <f t="shared" si="7"/>
        <v>16413</v>
      </c>
      <c r="Q26" s="62">
        <f t="shared" si="7"/>
        <v>2457</v>
      </c>
      <c r="R26" s="62">
        <f>+R25+R23+R24</f>
        <v>19896</v>
      </c>
      <c r="S26" s="62">
        <f t="shared" si="3"/>
        <v>1431781</v>
      </c>
      <c r="T26" s="51">
        <f t="shared" si="0"/>
        <v>10.017206764383886</v>
      </c>
      <c r="U26" s="6"/>
    </row>
    <row r="27" spans="1:23">
      <c r="A27" s="14" t="s">
        <v>36</v>
      </c>
      <c r="B27" s="57">
        <v>2264</v>
      </c>
      <c r="C27" s="57">
        <v>3199</v>
      </c>
      <c r="D27" s="57">
        <v>1265</v>
      </c>
      <c r="E27" s="57">
        <v>961</v>
      </c>
      <c r="F27" s="57">
        <v>0</v>
      </c>
      <c r="G27" s="57">
        <v>15676</v>
      </c>
      <c r="H27" s="57">
        <v>651</v>
      </c>
      <c r="I27" s="57">
        <v>1326</v>
      </c>
      <c r="J27" s="57">
        <v>8669</v>
      </c>
      <c r="K27" s="57">
        <v>295</v>
      </c>
      <c r="L27" s="57">
        <v>1455</v>
      </c>
      <c r="M27" s="58">
        <v>1388</v>
      </c>
      <c r="N27" s="57">
        <v>43913</v>
      </c>
      <c r="O27" s="57">
        <v>7610</v>
      </c>
      <c r="P27" s="57">
        <v>2855</v>
      </c>
      <c r="Q27" s="57">
        <v>0</v>
      </c>
      <c r="R27" s="57">
        <v>4062</v>
      </c>
      <c r="S27" s="60">
        <f t="shared" si="3"/>
        <v>95589</v>
      </c>
      <c r="T27" s="50">
        <f t="shared" si="0"/>
        <v>0.66877181454474632</v>
      </c>
      <c r="U27" s="6"/>
    </row>
    <row r="28" spans="1:23">
      <c r="A28" s="14" t="s">
        <v>90</v>
      </c>
      <c r="B28" s="57">
        <v>7</v>
      </c>
      <c r="C28" s="57">
        <v>21</v>
      </c>
      <c r="D28" s="57">
        <v>0</v>
      </c>
      <c r="E28" s="57">
        <v>0</v>
      </c>
      <c r="F28" s="57">
        <v>216</v>
      </c>
      <c r="G28" s="57">
        <v>263</v>
      </c>
      <c r="H28" s="57">
        <v>0</v>
      </c>
      <c r="I28" s="57">
        <v>0</v>
      </c>
      <c r="J28" s="57">
        <v>242</v>
      </c>
      <c r="K28" s="57">
        <v>15</v>
      </c>
      <c r="L28" s="57">
        <v>16</v>
      </c>
      <c r="M28" s="58">
        <v>0</v>
      </c>
      <c r="N28" s="57">
        <v>292</v>
      </c>
      <c r="O28" s="57">
        <v>1198</v>
      </c>
      <c r="P28" s="57">
        <v>0</v>
      </c>
      <c r="Q28" s="57">
        <v>0</v>
      </c>
      <c r="R28" s="57">
        <v>126</v>
      </c>
      <c r="S28" s="60">
        <f t="shared" si="3"/>
        <v>2396</v>
      </c>
      <c r="T28" s="50">
        <f t="shared" si="0"/>
        <v>1.6763197309828663E-2</v>
      </c>
      <c r="U28" s="6"/>
    </row>
    <row r="29" spans="1:23">
      <c r="A29" s="14" t="s">
        <v>37</v>
      </c>
      <c r="B29" s="57">
        <v>319</v>
      </c>
      <c r="C29" s="57">
        <v>1479</v>
      </c>
      <c r="D29" s="57">
        <v>1</v>
      </c>
      <c r="E29" s="57">
        <v>388</v>
      </c>
      <c r="F29" s="57">
        <v>7158</v>
      </c>
      <c r="G29" s="57">
        <v>3587</v>
      </c>
      <c r="H29" s="57">
        <v>91</v>
      </c>
      <c r="I29" s="57">
        <v>501</v>
      </c>
      <c r="J29" s="57">
        <v>5823</v>
      </c>
      <c r="K29" s="57">
        <v>136</v>
      </c>
      <c r="L29" s="57">
        <v>1040</v>
      </c>
      <c r="M29" s="58">
        <v>509</v>
      </c>
      <c r="N29" s="57">
        <v>15713</v>
      </c>
      <c r="O29" s="57">
        <v>8677</v>
      </c>
      <c r="P29" s="57">
        <v>2203</v>
      </c>
      <c r="Q29" s="57">
        <v>0</v>
      </c>
      <c r="R29" s="57">
        <v>936</v>
      </c>
      <c r="S29" s="60">
        <f t="shared" si="3"/>
        <v>48561</v>
      </c>
      <c r="T29" s="50">
        <f t="shared" si="0"/>
        <v>0.33974859121977863</v>
      </c>
      <c r="U29" s="6"/>
    </row>
    <row r="30" spans="1:23">
      <c r="A30" s="14" t="s">
        <v>38</v>
      </c>
      <c r="B30" s="57">
        <v>11055</v>
      </c>
      <c r="C30" s="57">
        <v>9537</v>
      </c>
      <c r="D30" s="57">
        <v>6302</v>
      </c>
      <c r="E30" s="57">
        <v>1759</v>
      </c>
      <c r="F30" s="57">
        <v>0</v>
      </c>
      <c r="G30" s="57">
        <v>71630</v>
      </c>
      <c r="H30" s="57">
        <v>324</v>
      </c>
      <c r="I30" s="57">
        <v>1872</v>
      </c>
      <c r="J30" s="57">
        <v>13405</v>
      </c>
      <c r="K30" s="57">
        <v>695</v>
      </c>
      <c r="L30" s="57">
        <v>11036</v>
      </c>
      <c r="M30" s="58">
        <v>3072</v>
      </c>
      <c r="N30" s="57">
        <v>40148</v>
      </c>
      <c r="O30" s="57">
        <v>23160</v>
      </c>
      <c r="P30" s="57">
        <v>6232</v>
      </c>
      <c r="Q30" s="57">
        <v>2732</v>
      </c>
      <c r="R30" s="57">
        <v>6537</v>
      </c>
      <c r="S30" s="60">
        <f t="shared" si="3"/>
        <v>209496</v>
      </c>
      <c r="T30" s="50">
        <f t="shared" si="0"/>
        <v>1.4657023303922645</v>
      </c>
      <c r="U30" s="6"/>
    </row>
    <row r="31" spans="1:23">
      <c r="A31" s="14" t="s">
        <v>39</v>
      </c>
      <c r="B31" s="57">
        <v>4443</v>
      </c>
      <c r="C31" s="57">
        <v>2520</v>
      </c>
      <c r="D31" s="57">
        <v>1092</v>
      </c>
      <c r="E31" s="57">
        <v>1961</v>
      </c>
      <c r="F31" s="57">
        <v>7207</v>
      </c>
      <c r="G31" s="57">
        <v>52148</v>
      </c>
      <c r="H31" s="57">
        <v>505</v>
      </c>
      <c r="I31" s="57">
        <v>910</v>
      </c>
      <c r="J31" s="57">
        <v>7904</v>
      </c>
      <c r="K31" s="57">
        <v>121</v>
      </c>
      <c r="L31" s="57">
        <v>6358</v>
      </c>
      <c r="M31" s="58">
        <v>2810</v>
      </c>
      <c r="N31" s="57">
        <v>16199</v>
      </c>
      <c r="O31" s="57">
        <v>13538</v>
      </c>
      <c r="P31" s="57">
        <v>6150</v>
      </c>
      <c r="Q31" s="57">
        <v>5351</v>
      </c>
      <c r="R31" s="57">
        <v>4307</v>
      </c>
      <c r="S31" s="60">
        <f t="shared" si="3"/>
        <v>133524</v>
      </c>
      <c r="T31" s="50">
        <f t="shared" si="0"/>
        <v>0.93417744474021802</v>
      </c>
      <c r="U31" s="6"/>
    </row>
    <row r="32" spans="1:23">
      <c r="A32" s="14" t="s">
        <v>91</v>
      </c>
      <c r="B32" s="57">
        <v>4342</v>
      </c>
      <c r="C32" s="57">
        <v>13848</v>
      </c>
      <c r="D32" s="57">
        <v>8440</v>
      </c>
      <c r="E32" s="57">
        <v>5211</v>
      </c>
      <c r="F32" s="57">
        <v>42313</v>
      </c>
      <c r="G32" s="57">
        <v>39500</v>
      </c>
      <c r="H32" s="57">
        <v>6322</v>
      </c>
      <c r="I32" s="57">
        <v>8203</v>
      </c>
      <c r="J32" s="57">
        <v>43141</v>
      </c>
      <c r="K32" s="57">
        <v>917</v>
      </c>
      <c r="L32" s="57">
        <v>13151</v>
      </c>
      <c r="M32" s="58">
        <v>10233</v>
      </c>
      <c r="N32" s="57">
        <v>92372</v>
      </c>
      <c r="O32" s="57">
        <v>51557</v>
      </c>
      <c r="P32" s="57">
        <v>9365</v>
      </c>
      <c r="Q32" s="57">
        <v>7573</v>
      </c>
      <c r="R32" s="57">
        <v>4855</v>
      </c>
      <c r="S32" s="60">
        <f t="shared" si="3"/>
        <v>361343</v>
      </c>
      <c r="T32" s="50">
        <f t="shared" si="0"/>
        <v>2.5280734580657005</v>
      </c>
      <c r="U32" s="6"/>
    </row>
    <row r="33" spans="1:23">
      <c r="A33" s="14" t="s">
        <v>41</v>
      </c>
      <c r="B33" s="57">
        <v>499</v>
      </c>
      <c r="C33" s="57">
        <v>379</v>
      </c>
      <c r="D33" s="57">
        <v>160</v>
      </c>
      <c r="E33" s="57">
        <v>716</v>
      </c>
      <c r="F33" s="57">
        <v>510</v>
      </c>
      <c r="G33" s="57">
        <v>5868</v>
      </c>
      <c r="H33" s="57">
        <v>60</v>
      </c>
      <c r="I33" s="57">
        <v>96</v>
      </c>
      <c r="J33" s="57">
        <v>2803</v>
      </c>
      <c r="K33" s="57">
        <v>75</v>
      </c>
      <c r="L33" s="57">
        <v>526</v>
      </c>
      <c r="M33" s="58">
        <v>0</v>
      </c>
      <c r="N33" s="57">
        <v>2997</v>
      </c>
      <c r="O33" s="57">
        <v>2471</v>
      </c>
      <c r="P33" s="57">
        <v>5327</v>
      </c>
      <c r="Q33" s="57">
        <v>0</v>
      </c>
      <c r="R33" s="57">
        <v>4023</v>
      </c>
      <c r="S33" s="60">
        <f t="shared" si="3"/>
        <v>26510</v>
      </c>
      <c r="T33" s="50">
        <f t="shared" si="0"/>
        <v>0.18547260462585888</v>
      </c>
      <c r="U33" s="6"/>
    </row>
    <row r="34" spans="1:23">
      <c r="A34" s="14" t="s">
        <v>42</v>
      </c>
      <c r="B34" s="57">
        <v>8581</v>
      </c>
      <c r="C34" s="57">
        <v>6106</v>
      </c>
      <c r="D34" s="57">
        <v>8246</v>
      </c>
      <c r="E34" s="57">
        <v>1208</v>
      </c>
      <c r="F34" s="57">
        <v>30758</v>
      </c>
      <c r="G34" s="57">
        <v>40616</v>
      </c>
      <c r="H34" s="57">
        <v>6504</v>
      </c>
      <c r="I34" s="57">
        <v>1216</v>
      </c>
      <c r="J34" s="57">
        <v>38271</v>
      </c>
      <c r="K34" s="57">
        <v>516</v>
      </c>
      <c r="L34" s="57">
        <v>8838</v>
      </c>
      <c r="M34" s="58">
        <v>465</v>
      </c>
      <c r="N34" s="57">
        <v>35065</v>
      </c>
      <c r="O34" s="57">
        <v>8059</v>
      </c>
      <c r="P34" s="57">
        <v>2566</v>
      </c>
      <c r="Q34" s="57">
        <v>2309</v>
      </c>
      <c r="R34" s="57">
        <v>8426</v>
      </c>
      <c r="S34" s="60">
        <f t="shared" si="3"/>
        <v>207750</v>
      </c>
      <c r="T34" s="50">
        <f t="shared" si="0"/>
        <v>1.4534867450404443</v>
      </c>
      <c r="U34" s="9"/>
    </row>
    <row r="35" spans="1:23">
      <c r="A35" s="14" t="s">
        <v>43</v>
      </c>
      <c r="B35" s="57">
        <v>6925</v>
      </c>
      <c r="C35" s="57">
        <v>17476</v>
      </c>
      <c r="D35" s="57">
        <v>17332</v>
      </c>
      <c r="E35" s="57">
        <v>15183</v>
      </c>
      <c r="F35" s="57">
        <v>101730</v>
      </c>
      <c r="G35" s="57">
        <v>84498</v>
      </c>
      <c r="H35" s="57">
        <v>12581</v>
      </c>
      <c r="I35" s="57">
        <v>12123</v>
      </c>
      <c r="J35" s="57">
        <v>90181</v>
      </c>
      <c r="K35" s="57">
        <v>982</v>
      </c>
      <c r="L35" s="57">
        <v>27128</v>
      </c>
      <c r="M35" s="58">
        <v>9645</v>
      </c>
      <c r="N35" s="57">
        <v>105192</v>
      </c>
      <c r="O35" s="57">
        <v>71697</v>
      </c>
      <c r="P35" s="57">
        <v>22892</v>
      </c>
      <c r="Q35" s="57">
        <v>14885</v>
      </c>
      <c r="R35" s="57">
        <v>11054</v>
      </c>
      <c r="S35" s="60">
        <f t="shared" si="3"/>
        <v>621504</v>
      </c>
      <c r="T35" s="50">
        <f t="shared" si="0"/>
        <v>4.3482446497695131</v>
      </c>
      <c r="U35" s="6"/>
    </row>
    <row r="36" spans="1:23">
      <c r="A36" s="16" t="s">
        <v>44</v>
      </c>
      <c r="B36" s="62">
        <f t="shared" ref="B36:R36" si="8">SUM(B27:B35)</f>
        <v>38435</v>
      </c>
      <c r="C36" s="62">
        <f t="shared" si="8"/>
        <v>54565</v>
      </c>
      <c r="D36" s="62">
        <f t="shared" si="8"/>
        <v>42838</v>
      </c>
      <c r="E36" s="62">
        <f t="shared" si="8"/>
        <v>27387</v>
      </c>
      <c r="F36" s="62">
        <f t="shared" si="8"/>
        <v>189892</v>
      </c>
      <c r="G36" s="62">
        <f t="shared" si="8"/>
        <v>313786</v>
      </c>
      <c r="H36" s="62">
        <f t="shared" si="8"/>
        <v>27038</v>
      </c>
      <c r="I36" s="62">
        <f t="shared" si="8"/>
        <v>26247</v>
      </c>
      <c r="J36" s="62">
        <f t="shared" si="8"/>
        <v>210439</v>
      </c>
      <c r="K36" s="62">
        <f t="shared" si="8"/>
        <v>3752</v>
      </c>
      <c r="L36" s="62">
        <f t="shared" si="8"/>
        <v>69548</v>
      </c>
      <c r="M36" s="62">
        <f t="shared" si="8"/>
        <v>28122</v>
      </c>
      <c r="N36" s="62">
        <f t="shared" si="8"/>
        <v>351891</v>
      </c>
      <c r="O36" s="62">
        <f t="shared" si="8"/>
        <v>187967</v>
      </c>
      <c r="P36" s="62">
        <f t="shared" si="8"/>
        <v>57590</v>
      </c>
      <c r="Q36" s="62">
        <f t="shared" si="8"/>
        <v>32850</v>
      </c>
      <c r="R36" s="62">
        <f t="shared" si="8"/>
        <v>44326</v>
      </c>
      <c r="S36" s="62">
        <f t="shared" si="3"/>
        <v>1706673</v>
      </c>
      <c r="T36" s="51">
        <f t="shared" si="0"/>
        <v>11.940440835708353</v>
      </c>
      <c r="U36" s="6"/>
    </row>
    <row r="37" spans="1:23">
      <c r="A37" s="14" t="s">
        <v>45</v>
      </c>
      <c r="B37" s="57">
        <v>1402</v>
      </c>
      <c r="C37" s="57">
        <v>1935</v>
      </c>
      <c r="D37" s="57">
        <v>378</v>
      </c>
      <c r="E37" s="57">
        <v>34</v>
      </c>
      <c r="F37" s="57">
        <v>3937</v>
      </c>
      <c r="G37" s="57">
        <v>4146</v>
      </c>
      <c r="H37" s="57">
        <v>293</v>
      </c>
      <c r="I37" s="57">
        <v>39</v>
      </c>
      <c r="J37" s="57">
        <v>25876</v>
      </c>
      <c r="K37" s="57">
        <v>409</v>
      </c>
      <c r="L37" s="57">
        <v>710</v>
      </c>
      <c r="M37" s="58">
        <v>552</v>
      </c>
      <c r="N37" s="57">
        <v>3413</v>
      </c>
      <c r="O37" s="57">
        <v>3906</v>
      </c>
      <c r="P37" s="57">
        <v>648</v>
      </c>
      <c r="Q37" s="57">
        <v>0</v>
      </c>
      <c r="R37" s="57">
        <v>2883</v>
      </c>
      <c r="S37" s="60">
        <f t="shared" si="3"/>
        <v>50561</v>
      </c>
      <c r="T37" s="50">
        <f t="shared" ref="T37:T65" si="9">S37/S$65*100</f>
        <v>0.35374124339826668</v>
      </c>
      <c r="U37" s="6"/>
      <c r="V37" s="38"/>
      <c r="W37" s="38"/>
    </row>
    <row r="38" spans="1:23">
      <c r="A38" s="14" t="s">
        <v>47</v>
      </c>
      <c r="B38" s="57">
        <v>13348</v>
      </c>
      <c r="C38" s="57">
        <v>16478</v>
      </c>
      <c r="D38" s="57">
        <v>2212</v>
      </c>
      <c r="E38" s="57">
        <v>85</v>
      </c>
      <c r="F38" s="57">
        <v>71666</v>
      </c>
      <c r="G38" s="57">
        <v>89005</v>
      </c>
      <c r="H38" s="57">
        <v>7355</v>
      </c>
      <c r="I38" s="57">
        <v>401</v>
      </c>
      <c r="J38" s="57">
        <v>285966</v>
      </c>
      <c r="K38" s="57">
        <v>1624</v>
      </c>
      <c r="L38" s="57">
        <v>4025</v>
      </c>
      <c r="M38" s="58">
        <v>15069</v>
      </c>
      <c r="N38" s="59">
        <v>33338</v>
      </c>
      <c r="O38" s="57">
        <v>47115</v>
      </c>
      <c r="P38" s="57">
        <v>6038</v>
      </c>
      <c r="Q38" s="57">
        <v>0</v>
      </c>
      <c r="R38" s="57">
        <v>8387</v>
      </c>
      <c r="S38" s="60">
        <f t="shared" si="3"/>
        <v>602112</v>
      </c>
      <c r="T38" s="50">
        <f t="shared" si="9"/>
        <v>4.212571894246893</v>
      </c>
      <c r="U38" s="6"/>
    </row>
    <row r="39" spans="1:23">
      <c r="A39" s="14" t="s">
        <v>88</v>
      </c>
      <c r="B39" s="57">
        <v>3739</v>
      </c>
      <c r="C39" s="57">
        <v>4888</v>
      </c>
      <c r="D39" s="57">
        <v>160</v>
      </c>
      <c r="E39" s="57">
        <v>30</v>
      </c>
      <c r="F39" s="57">
        <v>11541</v>
      </c>
      <c r="G39" s="57">
        <v>16563</v>
      </c>
      <c r="H39" s="57">
        <v>593</v>
      </c>
      <c r="I39" s="57">
        <v>115</v>
      </c>
      <c r="J39" s="57">
        <v>81530</v>
      </c>
      <c r="K39" s="57">
        <v>683</v>
      </c>
      <c r="L39" s="57">
        <v>1394</v>
      </c>
      <c r="M39" s="58">
        <v>1801</v>
      </c>
      <c r="N39" s="57">
        <v>6193</v>
      </c>
      <c r="O39" s="57">
        <v>18545</v>
      </c>
      <c r="P39" s="57">
        <v>1051</v>
      </c>
      <c r="Q39" s="57">
        <v>0</v>
      </c>
      <c r="R39" s="57">
        <v>5142</v>
      </c>
      <c r="S39" s="60">
        <f t="shared" si="3"/>
        <v>153968</v>
      </c>
      <c r="T39" s="50">
        <f t="shared" si="9"/>
        <v>1.0772103353087226</v>
      </c>
      <c r="U39" s="6"/>
    </row>
    <row r="40" spans="1:23">
      <c r="A40" s="14" t="s">
        <v>48</v>
      </c>
      <c r="B40" s="57">
        <v>0</v>
      </c>
      <c r="C40" s="57">
        <v>0</v>
      </c>
      <c r="D40" s="57">
        <v>0</v>
      </c>
      <c r="E40" s="57">
        <v>0</v>
      </c>
      <c r="F40" s="57">
        <v>1</v>
      </c>
      <c r="G40" s="57">
        <v>0</v>
      </c>
      <c r="H40" s="57">
        <v>0</v>
      </c>
      <c r="I40" s="57">
        <v>0</v>
      </c>
      <c r="J40" s="57">
        <v>58757</v>
      </c>
      <c r="K40" s="57">
        <v>0</v>
      </c>
      <c r="L40" s="57">
        <v>0</v>
      </c>
      <c r="M40" s="58">
        <v>0</v>
      </c>
      <c r="N40" s="57">
        <v>0</v>
      </c>
      <c r="O40" s="57">
        <v>0</v>
      </c>
      <c r="P40" s="68">
        <v>0</v>
      </c>
      <c r="Q40" s="57">
        <v>0</v>
      </c>
      <c r="R40" s="57">
        <v>0</v>
      </c>
      <c r="S40" s="60">
        <f t="shared" si="3"/>
        <v>58758</v>
      </c>
      <c r="T40" s="50">
        <f t="shared" si="9"/>
        <v>0.41109012835179992</v>
      </c>
      <c r="U40" s="6"/>
    </row>
    <row r="41" spans="1:23">
      <c r="A41" s="14" t="s">
        <v>49</v>
      </c>
      <c r="B41" s="57">
        <v>47</v>
      </c>
      <c r="C41" s="57">
        <v>174</v>
      </c>
      <c r="D41" s="57">
        <v>2</v>
      </c>
      <c r="E41" s="57">
        <v>1</v>
      </c>
      <c r="F41" s="57">
        <v>420</v>
      </c>
      <c r="G41" s="57">
        <v>939</v>
      </c>
      <c r="H41" s="57">
        <v>2</v>
      </c>
      <c r="I41" s="57">
        <v>0</v>
      </c>
      <c r="J41" s="57">
        <v>2084</v>
      </c>
      <c r="K41" s="57">
        <v>78</v>
      </c>
      <c r="L41" s="57">
        <v>34</v>
      </c>
      <c r="M41" s="58">
        <v>17</v>
      </c>
      <c r="N41" s="57">
        <v>933</v>
      </c>
      <c r="O41" s="57">
        <v>230</v>
      </c>
      <c r="P41" s="57">
        <v>1</v>
      </c>
      <c r="Q41" s="57">
        <v>0</v>
      </c>
      <c r="R41" s="57">
        <v>376</v>
      </c>
      <c r="S41" s="60">
        <f t="shared" si="3"/>
        <v>5338</v>
      </c>
      <c r="T41" s="50">
        <f t="shared" si="9"/>
        <v>3.7346388664384556E-2</v>
      </c>
      <c r="U41" s="9"/>
    </row>
    <row r="42" spans="1:23">
      <c r="A42" s="14" t="s">
        <v>72</v>
      </c>
      <c r="B42" s="57">
        <v>0</v>
      </c>
      <c r="C42" s="57">
        <v>0</v>
      </c>
      <c r="D42" s="57">
        <v>0</v>
      </c>
      <c r="E42" s="57">
        <v>0</v>
      </c>
      <c r="F42" s="57">
        <v>1</v>
      </c>
      <c r="G42" s="57">
        <v>0</v>
      </c>
      <c r="H42" s="57">
        <v>0</v>
      </c>
      <c r="I42" s="57">
        <v>0</v>
      </c>
      <c r="J42" s="57" t="s">
        <v>111</v>
      </c>
      <c r="K42" s="57" t="s">
        <v>111</v>
      </c>
      <c r="L42" s="57">
        <v>0</v>
      </c>
      <c r="M42" s="58">
        <v>0</v>
      </c>
      <c r="N42" s="57">
        <v>0</v>
      </c>
      <c r="O42" s="57" t="s">
        <v>111</v>
      </c>
      <c r="P42" s="57">
        <v>0</v>
      </c>
      <c r="Q42" s="57">
        <v>0</v>
      </c>
      <c r="R42" s="57">
        <v>0</v>
      </c>
      <c r="S42" s="60">
        <f t="shared" si="3"/>
        <v>1</v>
      </c>
      <c r="T42" s="50">
        <f t="shared" si="9"/>
        <v>6.996326089244017E-6</v>
      </c>
      <c r="U42" s="6"/>
    </row>
    <row r="43" spans="1:23">
      <c r="A43" s="16" t="s">
        <v>51</v>
      </c>
      <c r="B43" s="62">
        <f t="shared" ref="B43:P43" si="10">SUM(B37:B42)</f>
        <v>18536</v>
      </c>
      <c r="C43" s="62">
        <f t="shared" si="10"/>
        <v>23475</v>
      </c>
      <c r="D43" s="62">
        <f t="shared" si="10"/>
        <v>2752</v>
      </c>
      <c r="E43" s="62">
        <f t="shared" si="10"/>
        <v>150</v>
      </c>
      <c r="F43" s="62">
        <f t="shared" si="10"/>
        <v>87566</v>
      </c>
      <c r="G43" s="62">
        <f t="shared" si="10"/>
        <v>110653</v>
      </c>
      <c r="H43" s="62">
        <f t="shared" si="10"/>
        <v>8243</v>
      </c>
      <c r="I43" s="62">
        <f t="shared" si="10"/>
        <v>555</v>
      </c>
      <c r="J43" s="62">
        <f t="shared" si="10"/>
        <v>454213</v>
      </c>
      <c r="K43" s="62">
        <f t="shared" si="10"/>
        <v>2794</v>
      </c>
      <c r="L43" s="62">
        <f t="shared" si="10"/>
        <v>6163</v>
      </c>
      <c r="M43" s="62">
        <f t="shared" si="10"/>
        <v>17439</v>
      </c>
      <c r="N43" s="62">
        <f t="shared" si="10"/>
        <v>43877</v>
      </c>
      <c r="O43" s="62">
        <f t="shared" si="10"/>
        <v>69796</v>
      </c>
      <c r="P43" s="62">
        <f t="shared" si="10"/>
        <v>7738</v>
      </c>
      <c r="Q43" s="62" t="s">
        <v>107</v>
      </c>
      <c r="R43" s="62">
        <f>SUM(R37:R42)</f>
        <v>16788</v>
      </c>
      <c r="S43" s="62">
        <f>SUM(R37:S41)</f>
        <v>887525</v>
      </c>
      <c r="T43" s="51">
        <f t="shared" si="9"/>
        <v>6.2094143123562953</v>
      </c>
      <c r="U43" s="6"/>
    </row>
    <row r="44" spans="1:23">
      <c r="A44" s="14" t="s">
        <v>52</v>
      </c>
      <c r="B44" s="57">
        <v>15269</v>
      </c>
      <c r="C44" s="57">
        <v>37938</v>
      </c>
      <c r="D44" s="57">
        <v>12084</v>
      </c>
      <c r="E44" s="57">
        <v>6225</v>
      </c>
      <c r="F44" s="57">
        <v>70214</v>
      </c>
      <c r="G44" s="57">
        <v>339185</v>
      </c>
      <c r="H44" s="57">
        <v>4524</v>
      </c>
      <c r="I44" s="57">
        <v>3311</v>
      </c>
      <c r="J44" s="57">
        <v>62917</v>
      </c>
      <c r="K44" s="57">
        <v>5123</v>
      </c>
      <c r="L44" s="57">
        <v>19125</v>
      </c>
      <c r="M44" s="58">
        <v>16561</v>
      </c>
      <c r="N44" s="57">
        <v>171823</v>
      </c>
      <c r="O44" s="57">
        <v>53719</v>
      </c>
      <c r="P44" s="57">
        <v>19700</v>
      </c>
      <c r="Q44" s="57">
        <v>3363</v>
      </c>
      <c r="R44" s="57">
        <v>26730</v>
      </c>
      <c r="S44" s="60">
        <f t="shared" ref="S44:S45" si="11">SUM(B44:R44)</f>
        <v>867811</v>
      </c>
      <c r="T44" s="50">
        <f t="shared" si="9"/>
        <v>6.0714887398329394</v>
      </c>
      <c r="U44" s="9"/>
    </row>
    <row r="45" spans="1:23">
      <c r="A45" s="14" t="s">
        <v>53</v>
      </c>
      <c r="B45" s="57">
        <v>1564</v>
      </c>
      <c r="C45" s="57">
        <v>1557</v>
      </c>
      <c r="D45" s="57">
        <v>9</v>
      </c>
      <c r="E45" s="57">
        <v>8</v>
      </c>
      <c r="F45" s="57">
        <v>10494</v>
      </c>
      <c r="G45" s="57">
        <v>49138</v>
      </c>
      <c r="H45" s="57">
        <v>766</v>
      </c>
      <c r="I45" s="57">
        <v>0</v>
      </c>
      <c r="J45" s="57">
        <v>35283</v>
      </c>
      <c r="K45" s="57">
        <v>219</v>
      </c>
      <c r="L45" s="57">
        <v>413</v>
      </c>
      <c r="M45" s="58">
        <v>4071</v>
      </c>
      <c r="N45" s="57">
        <v>4022</v>
      </c>
      <c r="O45" s="57">
        <v>4725</v>
      </c>
      <c r="P45" s="57">
        <v>13</v>
      </c>
      <c r="Q45" s="57">
        <v>0</v>
      </c>
      <c r="R45" s="57">
        <v>1738</v>
      </c>
      <c r="S45" s="60">
        <f t="shared" si="11"/>
        <v>114020</v>
      </c>
      <c r="T45" s="50">
        <f t="shared" si="9"/>
        <v>0.79772110069560276</v>
      </c>
      <c r="U45" s="6"/>
    </row>
    <row r="46" spans="1:23">
      <c r="A46" s="16" t="s">
        <v>54</v>
      </c>
      <c r="B46" s="62">
        <f t="shared" ref="B46:J46" si="12">+B45+B44</f>
        <v>16833</v>
      </c>
      <c r="C46" s="62">
        <f t="shared" si="12"/>
        <v>39495</v>
      </c>
      <c r="D46" s="62">
        <f t="shared" si="12"/>
        <v>12093</v>
      </c>
      <c r="E46" s="62">
        <f t="shared" si="12"/>
        <v>6233</v>
      </c>
      <c r="F46" s="62">
        <f t="shared" si="12"/>
        <v>80708</v>
      </c>
      <c r="G46" s="62">
        <f t="shared" si="12"/>
        <v>388323</v>
      </c>
      <c r="H46" s="62">
        <f t="shared" si="12"/>
        <v>5290</v>
      </c>
      <c r="I46" s="62">
        <f t="shared" si="12"/>
        <v>3311</v>
      </c>
      <c r="J46" s="62">
        <f t="shared" si="12"/>
        <v>98200</v>
      </c>
      <c r="K46" s="62">
        <f>SUM(K44:K45)</f>
        <v>5342</v>
      </c>
      <c r="L46" s="62">
        <f>SUM(L44:L45)</f>
        <v>19538</v>
      </c>
      <c r="M46" s="62">
        <f t="shared" ref="M46:R46" si="13">+M45+M44</f>
        <v>20632</v>
      </c>
      <c r="N46" s="62">
        <f t="shared" si="13"/>
        <v>175845</v>
      </c>
      <c r="O46" s="62">
        <f t="shared" si="13"/>
        <v>58444</v>
      </c>
      <c r="P46" s="62">
        <f t="shared" si="13"/>
        <v>19713</v>
      </c>
      <c r="Q46" s="62">
        <f t="shared" si="13"/>
        <v>3363</v>
      </c>
      <c r="R46" s="62">
        <f t="shared" si="13"/>
        <v>28468</v>
      </c>
      <c r="S46" s="62">
        <f t="shared" ref="S46:S64" si="14">SUM(B46:R46)</f>
        <v>981831</v>
      </c>
      <c r="T46" s="51">
        <f t="shared" si="9"/>
        <v>6.8692098405285424</v>
      </c>
      <c r="U46" s="6"/>
    </row>
    <row r="47" spans="1:23">
      <c r="A47" s="14" t="s">
        <v>55</v>
      </c>
      <c r="B47" s="57">
        <v>19141</v>
      </c>
      <c r="C47" s="57">
        <v>36632</v>
      </c>
      <c r="D47" s="57">
        <v>8844</v>
      </c>
      <c r="E47" s="57">
        <v>3757</v>
      </c>
      <c r="F47" s="57">
        <v>58751</v>
      </c>
      <c r="G47" s="57">
        <v>279243</v>
      </c>
      <c r="H47" s="57">
        <v>3394</v>
      </c>
      <c r="I47" s="57">
        <v>4010</v>
      </c>
      <c r="J47" s="57">
        <v>58152</v>
      </c>
      <c r="K47" s="57">
        <v>4856</v>
      </c>
      <c r="L47" s="57">
        <v>22150</v>
      </c>
      <c r="M47" s="58">
        <v>13938</v>
      </c>
      <c r="N47" s="57">
        <v>169753</v>
      </c>
      <c r="O47" s="57">
        <v>46887</v>
      </c>
      <c r="P47" s="57">
        <v>20901</v>
      </c>
      <c r="Q47" s="57">
        <v>10330</v>
      </c>
      <c r="R47" s="65">
        <v>24873</v>
      </c>
      <c r="S47" s="60">
        <f t="shared" si="14"/>
        <v>785612</v>
      </c>
      <c r="T47" s="50">
        <f t="shared" si="9"/>
        <v>5.49639773162317</v>
      </c>
      <c r="U47" s="6"/>
    </row>
    <row r="48" spans="1:23">
      <c r="A48" s="14" t="s">
        <v>56</v>
      </c>
      <c r="B48" s="57">
        <v>3359</v>
      </c>
      <c r="C48" s="57">
        <v>8075</v>
      </c>
      <c r="D48" s="57">
        <v>915</v>
      </c>
      <c r="E48" s="57">
        <v>255</v>
      </c>
      <c r="F48" s="57">
        <v>27158</v>
      </c>
      <c r="G48" s="57">
        <v>50019</v>
      </c>
      <c r="H48" s="57">
        <v>1767</v>
      </c>
      <c r="I48" s="57">
        <v>523</v>
      </c>
      <c r="J48" s="57">
        <v>21666</v>
      </c>
      <c r="K48" s="57">
        <v>875</v>
      </c>
      <c r="L48" s="57">
        <v>7015</v>
      </c>
      <c r="M48" s="58">
        <v>2573</v>
      </c>
      <c r="N48" s="57">
        <v>64884</v>
      </c>
      <c r="O48" s="57">
        <v>13564</v>
      </c>
      <c r="P48" s="57">
        <v>3766</v>
      </c>
      <c r="Q48" s="57" t="s">
        <v>107</v>
      </c>
      <c r="R48" s="65">
        <v>4934</v>
      </c>
      <c r="S48" s="60">
        <f t="shared" si="14"/>
        <v>211348</v>
      </c>
      <c r="T48" s="50">
        <f t="shared" si="9"/>
        <v>1.4786595263095443</v>
      </c>
      <c r="U48" s="6"/>
    </row>
    <row r="49" spans="1:21">
      <c r="A49" s="14" t="s">
        <v>78</v>
      </c>
      <c r="B49" s="57">
        <v>3</v>
      </c>
      <c r="C49" s="57">
        <v>30</v>
      </c>
      <c r="D49" s="57">
        <v>0</v>
      </c>
      <c r="E49" s="57">
        <v>0</v>
      </c>
      <c r="F49" s="57">
        <v>10</v>
      </c>
      <c r="G49" s="57">
        <v>229</v>
      </c>
      <c r="H49" s="57">
        <v>0</v>
      </c>
      <c r="I49" s="57">
        <v>0</v>
      </c>
      <c r="J49" s="57">
        <v>29</v>
      </c>
      <c r="K49" s="57">
        <v>5</v>
      </c>
      <c r="L49" s="57">
        <v>13</v>
      </c>
      <c r="M49" s="58">
        <v>0</v>
      </c>
      <c r="N49" s="57">
        <v>0</v>
      </c>
      <c r="O49" s="57">
        <v>2</v>
      </c>
      <c r="P49" s="57">
        <v>3</v>
      </c>
      <c r="Q49" s="57">
        <v>0</v>
      </c>
      <c r="R49" s="65">
        <v>0</v>
      </c>
      <c r="S49" s="60">
        <f t="shared" si="14"/>
        <v>324</v>
      </c>
      <c r="T49" s="50">
        <f t="shared" si="9"/>
        <v>2.2668096529150613E-3</v>
      </c>
      <c r="U49" s="6"/>
    </row>
    <row r="50" spans="1:21">
      <c r="A50" s="16" t="s">
        <v>57</v>
      </c>
      <c r="B50" s="62">
        <f>+B48+B47+B49</f>
        <v>22503</v>
      </c>
      <c r="C50" s="62">
        <f>+C48+C47+C49</f>
        <v>44737</v>
      </c>
      <c r="D50" s="62">
        <f t="shared" ref="D50:R50" si="15">+D48+D47+D49</f>
        <v>9759</v>
      </c>
      <c r="E50" s="62">
        <f t="shared" si="15"/>
        <v>4012</v>
      </c>
      <c r="F50" s="62">
        <f t="shared" si="15"/>
        <v>85919</v>
      </c>
      <c r="G50" s="62">
        <f t="shared" si="15"/>
        <v>329491</v>
      </c>
      <c r="H50" s="62">
        <f t="shared" si="15"/>
        <v>5161</v>
      </c>
      <c r="I50" s="62">
        <f t="shared" si="15"/>
        <v>4533</v>
      </c>
      <c r="J50" s="62">
        <f t="shared" si="15"/>
        <v>79847</v>
      </c>
      <c r="K50" s="62">
        <f t="shared" si="15"/>
        <v>5736</v>
      </c>
      <c r="L50" s="62">
        <f>+L48+L47+L49</f>
        <v>29178</v>
      </c>
      <c r="M50" s="62">
        <f t="shared" si="15"/>
        <v>16511</v>
      </c>
      <c r="N50" s="62">
        <f t="shared" si="15"/>
        <v>234637</v>
      </c>
      <c r="O50" s="62">
        <f t="shared" si="15"/>
        <v>60453</v>
      </c>
      <c r="P50" s="62">
        <f t="shared" si="15"/>
        <v>24670</v>
      </c>
      <c r="Q50" s="62">
        <f>+Q47</f>
        <v>10330</v>
      </c>
      <c r="R50" s="62">
        <f t="shared" si="15"/>
        <v>29807</v>
      </c>
      <c r="S50" s="62">
        <f t="shared" si="14"/>
        <v>997284</v>
      </c>
      <c r="T50" s="51">
        <f t="shared" si="9"/>
        <v>6.977324067585629</v>
      </c>
      <c r="U50" s="6"/>
    </row>
    <row r="51" spans="1:21">
      <c r="A51" s="14" t="s">
        <v>58</v>
      </c>
      <c r="B51" s="57">
        <v>16859</v>
      </c>
      <c r="C51" s="57">
        <v>21620</v>
      </c>
      <c r="D51" s="57">
        <v>8961</v>
      </c>
      <c r="E51" s="57">
        <v>4073</v>
      </c>
      <c r="F51" s="57">
        <v>39970</v>
      </c>
      <c r="G51" s="57">
        <v>129508</v>
      </c>
      <c r="H51" s="57">
        <v>7921</v>
      </c>
      <c r="I51" s="57">
        <v>11053</v>
      </c>
      <c r="J51" s="57">
        <v>50370</v>
      </c>
      <c r="K51" s="57">
        <v>1548</v>
      </c>
      <c r="L51" s="57">
        <v>17484</v>
      </c>
      <c r="M51" s="58">
        <v>6144</v>
      </c>
      <c r="N51" s="57">
        <v>83284</v>
      </c>
      <c r="O51" s="57">
        <v>62766</v>
      </c>
      <c r="P51" s="57">
        <v>6404</v>
      </c>
      <c r="Q51" s="57">
        <v>7430</v>
      </c>
      <c r="R51" s="57">
        <v>8687</v>
      </c>
      <c r="S51" s="60">
        <f t="shared" si="14"/>
        <v>484082</v>
      </c>
      <c r="T51" s="50">
        <f t="shared" si="9"/>
        <v>3.3867955259334219</v>
      </c>
      <c r="U51" s="6"/>
    </row>
    <row r="52" spans="1:21">
      <c r="A52" s="14" t="s">
        <v>59</v>
      </c>
      <c r="B52" s="57">
        <v>9439</v>
      </c>
      <c r="C52" s="57">
        <v>14806</v>
      </c>
      <c r="D52" s="57">
        <v>7896</v>
      </c>
      <c r="E52" s="57">
        <v>7187</v>
      </c>
      <c r="F52" s="57">
        <v>45056</v>
      </c>
      <c r="G52" s="57">
        <v>69608</v>
      </c>
      <c r="H52" s="57">
        <v>3215</v>
      </c>
      <c r="I52" s="57">
        <v>6453</v>
      </c>
      <c r="J52" s="57">
        <v>47772</v>
      </c>
      <c r="K52" s="57">
        <v>768</v>
      </c>
      <c r="L52" s="57">
        <v>25260</v>
      </c>
      <c r="M52" s="58">
        <v>5266</v>
      </c>
      <c r="N52" s="57">
        <v>97323</v>
      </c>
      <c r="O52" s="57">
        <v>59523</v>
      </c>
      <c r="P52" s="57">
        <v>25453</v>
      </c>
      <c r="Q52" s="57">
        <v>3343</v>
      </c>
      <c r="R52" s="57">
        <v>4512</v>
      </c>
      <c r="S52" s="60">
        <f t="shared" si="14"/>
        <v>432880</v>
      </c>
      <c r="T52" s="50">
        <f t="shared" si="9"/>
        <v>3.02856963751195</v>
      </c>
      <c r="U52" s="9"/>
    </row>
    <row r="53" spans="1:21">
      <c r="A53" s="14" t="s">
        <v>60</v>
      </c>
      <c r="B53" s="57">
        <v>226</v>
      </c>
      <c r="C53" s="57">
        <v>740</v>
      </c>
      <c r="D53" s="57">
        <v>0</v>
      </c>
      <c r="E53" s="57">
        <v>15</v>
      </c>
      <c r="F53" s="57">
        <v>0</v>
      </c>
      <c r="G53" s="57">
        <v>2870</v>
      </c>
      <c r="H53" s="57">
        <v>14</v>
      </c>
      <c r="I53" s="57">
        <v>47</v>
      </c>
      <c r="J53" s="57">
        <v>2306</v>
      </c>
      <c r="K53" s="57">
        <v>56</v>
      </c>
      <c r="L53" s="57">
        <v>2</v>
      </c>
      <c r="M53" s="58">
        <v>0</v>
      </c>
      <c r="N53" s="57">
        <v>1930</v>
      </c>
      <c r="O53" s="57">
        <v>3057</v>
      </c>
      <c r="P53" s="57">
        <v>0</v>
      </c>
      <c r="Q53" s="57">
        <v>0</v>
      </c>
      <c r="R53" s="57">
        <v>791</v>
      </c>
      <c r="S53" s="60">
        <f t="shared" si="14"/>
        <v>12054</v>
      </c>
      <c r="T53" s="50">
        <f t="shared" si="9"/>
        <v>8.4333714679747374E-2</v>
      </c>
      <c r="U53" s="21"/>
    </row>
    <row r="54" spans="1:21">
      <c r="A54" s="16" t="s">
        <v>61</v>
      </c>
      <c r="B54" s="62">
        <f t="shared" ref="B54:R54" si="16">SUM(B51:B53)</f>
        <v>26524</v>
      </c>
      <c r="C54" s="62">
        <f t="shared" si="16"/>
        <v>37166</v>
      </c>
      <c r="D54" s="62">
        <f t="shared" si="16"/>
        <v>16857</v>
      </c>
      <c r="E54" s="62">
        <f t="shared" si="16"/>
        <v>11275</v>
      </c>
      <c r="F54" s="62">
        <f t="shared" si="16"/>
        <v>85026</v>
      </c>
      <c r="G54" s="62">
        <f t="shared" si="16"/>
        <v>201986</v>
      </c>
      <c r="H54" s="62">
        <f t="shared" si="16"/>
        <v>11150</v>
      </c>
      <c r="I54" s="62">
        <f t="shared" si="16"/>
        <v>17553</v>
      </c>
      <c r="J54" s="62">
        <f t="shared" si="16"/>
        <v>100448</v>
      </c>
      <c r="K54" s="62">
        <f t="shared" si="16"/>
        <v>2372</v>
      </c>
      <c r="L54" s="62">
        <f>SUM(L51:L53)</f>
        <v>42746</v>
      </c>
      <c r="M54" s="62">
        <f t="shared" si="16"/>
        <v>11410</v>
      </c>
      <c r="N54" s="62">
        <f t="shared" si="16"/>
        <v>182537</v>
      </c>
      <c r="O54" s="62">
        <f t="shared" si="16"/>
        <v>125346</v>
      </c>
      <c r="P54" s="62">
        <f t="shared" si="16"/>
        <v>31857</v>
      </c>
      <c r="Q54" s="62">
        <f t="shared" si="16"/>
        <v>10773</v>
      </c>
      <c r="R54" s="62">
        <f t="shared" si="16"/>
        <v>13990</v>
      </c>
      <c r="S54" s="62">
        <f t="shared" si="14"/>
        <v>929016</v>
      </c>
      <c r="T54" s="51">
        <f t="shared" si="9"/>
        <v>6.4996988781251197</v>
      </c>
      <c r="U54" s="23"/>
    </row>
    <row r="55" spans="1:21">
      <c r="A55" s="20" t="s">
        <v>62</v>
      </c>
      <c r="B55" s="57">
        <v>828</v>
      </c>
      <c r="C55" s="57">
        <v>3174</v>
      </c>
      <c r="D55" s="57">
        <v>259</v>
      </c>
      <c r="E55" s="57">
        <v>242</v>
      </c>
      <c r="F55" s="57">
        <v>3561</v>
      </c>
      <c r="G55" s="57">
        <v>8703</v>
      </c>
      <c r="H55" s="57">
        <v>126</v>
      </c>
      <c r="I55" s="57">
        <v>459</v>
      </c>
      <c r="J55" s="57">
        <v>8068</v>
      </c>
      <c r="K55" s="57">
        <v>650</v>
      </c>
      <c r="L55" s="57">
        <v>1325</v>
      </c>
      <c r="M55" s="58">
        <v>850</v>
      </c>
      <c r="N55" s="57">
        <v>36069</v>
      </c>
      <c r="O55" s="57">
        <v>3387</v>
      </c>
      <c r="P55" s="57">
        <v>1160</v>
      </c>
      <c r="Q55" s="57">
        <v>3263</v>
      </c>
      <c r="R55" s="57">
        <v>2220</v>
      </c>
      <c r="S55" s="60">
        <f t="shared" si="14"/>
        <v>74344</v>
      </c>
      <c r="T55" s="52">
        <f t="shared" si="9"/>
        <v>0.5201348667787572</v>
      </c>
      <c r="U55" s="9"/>
    </row>
    <row r="56" spans="1:21">
      <c r="A56" s="14" t="s">
        <v>63</v>
      </c>
      <c r="B56" s="57">
        <v>1607</v>
      </c>
      <c r="C56" s="57">
        <v>4760</v>
      </c>
      <c r="D56" s="57">
        <v>355</v>
      </c>
      <c r="E56" s="57">
        <v>311</v>
      </c>
      <c r="F56" s="57">
        <v>7878</v>
      </c>
      <c r="G56" s="57">
        <v>17348</v>
      </c>
      <c r="H56" s="57">
        <v>319</v>
      </c>
      <c r="I56" s="57">
        <v>1137</v>
      </c>
      <c r="J56" s="57">
        <v>16434</v>
      </c>
      <c r="K56" s="57">
        <v>799</v>
      </c>
      <c r="L56" s="57">
        <v>1306</v>
      </c>
      <c r="M56" s="58">
        <v>582</v>
      </c>
      <c r="N56" s="57">
        <v>76546</v>
      </c>
      <c r="O56" s="57">
        <v>6378</v>
      </c>
      <c r="P56" s="57">
        <v>1067</v>
      </c>
      <c r="Q56" s="57">
        <v>0</v>
      </c>
      <c r="R56" s="57">
        <v>3985</v>
      </c>
      <c r="S56" s="60">
        <f t="shared" si="14"/>
        <v>140812</v>
      </c>
      <c r="T56" s="50">
        <f t="shared" si="9"/>
        <v>0.98516666927862839</v>
      </c>
      <c r="U56" s="6"/>
    </row>
    <row r="57" spans="1:21">
      <c r="A57" s="16" t="s">
        <v>64</v>
      </c>
      <c r="B57" s="62">
        <f>+B56+B55</f>
        <v>2435</v>
      </c>
      <c r="C57" s="62">
        <f>SUM(C55:C56)</f>
        <v>7934</v>
      </c>
      <c r="D57" s="62">
        <f>+D56+D55</f>
        <v>614</v>
      </c>
      <c r="E57" s="62">
        <f>SUM(E55:E56)</f>
        <v>553</v>
      </c>
      <c r="F57" s="62">
        <f>SUM(F55:F56)</f>
        <v>11439</v>
      </c>
      <c r="G57" s="62">
        <f>+G56+G55</f>
        <v>26051</v>
      </c>
      <c r="H57" s="62">
        <f t="shared" ref="H57:N57" si="17">SUM(H55:H56)</f>
        <v>445</v>
      </c>
      <c r="I57" s="62">
        <f t="shared" si="17"/>
        <v>1596</v>
      </c>
      <c r="J57" s="62">
        <f t="shared" si="17"/>
        <v>24502</v>
      </c>
      <c r="K57" s="62">
        <f t="shared" si="17"/>
        <v>1449</v>
      </c>
      <c r="L57" s="62">
        <f>SUM(L55:L56)</f>
        <v>2631</v>
      </c>
      <c r="M57" s="62">
        <f t="shared" si="17"/>
        <v>1432</v>
      </c>
      <c r="N57" s="62">
        <f t="shared" si="17"/>
        <v>112615</v>
      </c>
      <c r="O57" s="62">
        <f>+O56+O55</f>
        <v>9765</v>
      </c>
      <c r="P57" s="62">
        <f>+P56+P55</f>
        <v>2227</v>
      </c>
      <c r="Q57" s="62">
        <f>Q55+Q56</f>
        <v>3263</v>
      </c>
      <c r="R57" s="62">
        <f>SUM(R55:R56)</f>
        <v>6205</v>
      </c>
      <c r="S57" s="62">
        <f t="shared" si="14"/>
        <v>215156</v>
      </c>
      <c r="T57" s="51">
        <f t="shared" si="9"/>
        <v>1.5053015360573856</v>
      </c>
      <c r="U57" s="6"/>
    </row>
    <row r="58" spans="1:21">
      <c r="A58" s="14" t="s">
        <v>66</v>
      </c>
      <c r="B58" s="57">
        <v>15</v>
      </c>
      <c r="C58" s="57">
        <v>44</v>
      </c>
      <c r="D58" s="57">
        <v>0</v>
      </c>
      <c r="E58" s="57">
        <v>0</v>
      </c>
      <c r="F58" s="57">
        <v>0</v>
      </c>
      <c r="G58" s="57">
        <v>352</v>
      </c>
      <c r="H58" s="57">
        <v>0</v>
      </c>
      <c r="I58" s="57">
        <v>0</v>
      </c>
      <c r="J58" s="57">
        <v>53</v>
      </c>
      <c r="K58" s="57">
        <v>36</v>
      </c>
      <c r="L58" s="57">
        <v>26</v>
      </c>
      <c r="M58" s="58">
        <v>6</v>
      </c>
      <c r="N58" s="57">
        <v>0</v>
      </c>
      <c r="O58" s="57">
        <v>21</v>
      </c>
      <c r="P58" s="57">
        <v>8</v>
      </c>
      <c r="Q58" s="57">
        <v>0</v>
      </c>
      <c r="R58" s="57">
        <v>180</v>
      </c>
      <c r="S58" s="60">
        <f t="shared" si="14"/>
        <v>741</v>
      </c>
      <c r="T58" s="50">
        <f t="shared" si="9"/>
        <v>5.1842776321298165E-3</v>
      </c>
      <c r="U58" s="6"/>
    </row>
    <row r="59" spans="1:21">
      <c r="A59" s="14" t="s">
        <v>67</v>
      </c>
      <c r="B59" s="57">
        <v>0</v>
      </c>
      <c r="C59" s="57">
        <v>0</v>
      </c>
      <c r="D59" s="57">
        <v>0</v>
      </c>
      <c r="E59" s="57">
        <v>0</v>
      </c>
      <c r="F59" s="57">
        <v>0</v>
      </c>
      <c r="G59" s="57">
        <v>967</v>
      </c>
      <c r="H59" s="57">
        <v>0</v>
      </c>
      <c r="I59" s="57">
        <v>0</v>
      </c>
      <c r="J59" s="57">
        <v>0</v>
      </c>
      <c r="K59" s="57">
        <v>0</v>
      </c>
      <c r="L59" s="57">
        <v>0</v>
      </c>
      <c r="M59" s="58">
        <v>25</v>
      </c>
      <c r="N59" s="57">
        <v>0</v>
      </c>
      <c r="O59" s="57">
        <v>0</v>
      </c>
      <c r="P59" s="57">
        <v>42</v>
      </c>
      <c r="Q59" s="57">
        <v>0</v>
      </c>
      <c r="R59" s="57">
        <v>0</v>
      </c>
      <c r="S59" s="60">
        <f t="shared" si="14"/>
        <v>1034</v>
      </c>
      <c r="T59" s="50">
        <f t="shared" si="9"/>
        <v>7.2342011762783123E-3</v>
      </c>
      <c r="U59" s="6"/>
    </row>
    <row r="60" spans="1:21">
      <c r="A60" s="24" t="s">
        <v>65</v>
      </c>
      <c r="B60" s="57">
        <v>143</v>
      </c>
      <c r="C60" s="57">
        <v>13</v>
      </c>
      <c r="D60" s="57">
        <v>0</v>
      </c>
      <c r="E60" s="57">
        <v>2</v>
      </c>
      <c r="F60" s="57">
        <v>0</v>
      </c>
      <c r="G60" s="57">
        <v>2306</v>
      </c>
      <c r="H60" s="57">
        <v>0</v>
      </c>
      <c r="I60" s="57">
        <v>0</v>
      </c>
      <c r="J60" s="57">
        <v>38</v>
      </c>
      <c r="K60" s="57">
        <v>10</v>
      </c>
      <c r="L60" s="57">
        <v>0</v>
      </c>
      <c r="M60" s="58">
        <v>0</v>
      </c>
      <c r="N60" s="57">
        <v>0</v>
      </c>
      <c r="O60" s="57">
        <v>18</v>
      </c>
      <c r="P60" s="57"/>
      <c r="Q60" s="57">
        <v>0</v>
      </c>
      <c r="R60" s="57">
        <v>0</v>
      </c>
      <c r="S60" s="60">
        <f t="shared" si="14"/>
        <v>2530</v>
      </c>
      <c r="T60" s="50">
        <f t="shared" si="9"/>
        <v>1.7700705005787361E-2</v>
      </c>
      <c r="U60" s="6"/>
    </row>
    <row r="61" spans="1:21">
      <c r="A61" s="14" t="s">
        <v>46</v>
      </c>
      <c r="B61" s="57">
        <v>47</v>
      </c>
      <c r="C61" s="57">
        <v>127</v>
      </c>
      <c r="D61" s="57">
        <v>4</v>
      </c>
      <c r="E61" s="57">
        <v>3</v>
      </c>
      <c r="F61" s="57">
        <v>339</v>
      </c>
      <c r="G61" s="57">
        <v>987</v>
      </c>
      <c r="H61" s="57">
        <v>0</v>
      </c>
      <c r="I61" s="57">
        <v>0</v>
      </c>
      <c r="J61" s="57">
        <v>495</v>
      </c>
      <c r="K61" s="57">
        <v>72</v>
      </c>
      <c r="L61" s="57">
        <v>38</v>
      </c>
      <c r="M61" s="58">
        <v>26</v>
      </c>
      <c r="N61" s="57">
        <v>0</v>
      </c>
      <c r="O61" s="57">
        <v>73</v>
      </c>
      <c r="P61" s="57">
        <v>67</v>
      </c>
      <c r="Q61" s="57">
        <v>0</v>
      </c>
      <c r="R61" s="57">
        <v>0</v>
      </c>
      <c r="S61" s="60">
        <f>SUM(B61:R61)</f>
        <v>2278</v>
      </c>
      <c r="T61" s="50">
        <f t="shared" si="9"/>
        <v>1.5937630831297869E-2</v>
      </c>
      <c r="U61" s="6"/>
    </row>
    <row r="62" spans="1:21">
      <c r="A62" s="14" t="s">
        <v>68</v>
      </c>
      <c r="B62" s="57">
        <v>3</v>
      </c>
      <c r="C62" s="57">
        <v>45</v>
      </c>
      <c r="D62" s="57">
        <v>0</v>
      </c>
      <c r="E62" s="57">
        <v>0</v>
      </c>
      <c r="F62" s="57">
        <v>0</v>
      </c>
      <c r="G62" s="57">
        <v>150</v>
      </c>
      <c r="H62" s="57">
        <v>0</v>
      </c>
      <c r="I62" s="57">
        <v>0</v>
      </c>
      <c r="J62" s="57">
        <v>87</v>
      </c>
      <c r="K62" s="57">
        <v>18</v>
      </c>
      <c r="L62" s="57">
        <v>5</v>
      </c>
      <c r="M62" s="58">
        <v>0</v>
      </c>
      <c r="N62" s="57">
        <v>225</v>
      </c>
      <c r="O62" s="57">
        <v>2</v>
      </c>
      <c r="P62" s="57">
        <v>3</v>
      </c>
      <c r="Q62" s="57">
        <v>0</v>
      </c>
      <c r="R62" s="57">
        <v>0</v>
      </c>
      <c r="S62" s="60">
        <f t="shared" si="14"/>
        <v>538</v>
      </c>
      <c r="T62" s="50">
        <f t="shared" si="9"/>
        <v>3.7640234360132806E-3</v>
      </c>
      <c r="U62" s="6"/>
    </row>
    <row r="63" spans="1:21">
      <c r="A63" s="14" t="s">
        <v>76</v>
      </c>
      <c r="B63" s="57">
        <v>2966</v>
      </c>
      <c r="C63" s="57">
        <v>3690</v>
      </c>
      <c r="D63" s="57">
        <v>2734</v>
      </c>
      <c r="E63" s="57">
        <v>924</v>
      </c>
      <c r="F63" s="57">
        <v>0</v>
      </c>
      <c r="G63" s="57">
        <v>10711</v>
      </c>
      <c r="H63" s="57">
        <v>2</v>
      </c>
      <c r="I63" s="57">
        <v>270</v>
      </c>
      <c r="J63" s="57">
        <v>2462</v>
      </c>
      <c r="K63" s="57">
        <v>461</v>
      </c>
      <c r="L63" s="57">
        <v>30911</v>
      </c>
      <c r="M63" s="58">
        <v>1979</v>
      </c>
      <c r="N63" s="57">
        <v>0</v>
      </c>
      <c r="O63" s="57">
        <v>2050</v>
      </c>
      <c r="P63" s="57">
        <v>6199</v>
      </c>
      <c r="Q63" s="57">
        <v>18798</v>
      </c>
      <c r="R63" s="57">
        <v>6061</v>
      </c>
      <c r="S63" s="60">
        <f t="shared" si="14"/>
        <v>90218</v>
      </c>
      <c r="T63" s="50">
        <f t="shared" si="9"/>
        <v>0.63119454711941669</v>
      </c>
      <c r="U63" s="6"/>
    </row>
    <row r="64" spans="1:21" s="38" customFormat="1">
      <c r="A64" s="83" t="s">
        <v>72</v>
      </c>
      <c r="B64" s="84">
        <v>67</v>
      </c>
      <c r="C64" s="84">
        <f>17+180</f>
        <v>197</v>
      </c>
      <c r="D64" s="84">
        <v>162</v>
      </c>
      <c r="E64" s="84">
        <v>1751</v>
      </c>
      <c r="F64" s="84">
        <f>122+29701-339-510</f>
        <v>28974</v>
      </c>
      <c r="G64" s="84">
        <v>10496</v>
      </c>
      <c r="H64" s="84">
        <v>1</v>
      </c>
      <c r="I64" s="84">
        <v>0</v>
      </c>
      <c r="J64" s="84">
        <v>5161</v>
      </c>
      <c r="K64" s="84">
        <v>1075</v>
      </c>
      <c r="L64" s="84">
        <v>3036</v>
      </c>
      <c r="M64" s="85">
        <v>6</v>
      </c>
      <c r="N64" s="84">
        <v>30668</v>
      </c>
      <c r="O64" s="84">
        <v>259</v>
      </c>
      <c r="P64" s="84">
        <v>216</v>
      </c>
      <c r="Q64" s="84">
        <v>5729</v>
      </c>
      <c r="R64" s="84">
        <v>2151</v>
      </c>
      <c r="S64" s="86">
        <f t="shared" si="14"/>
        <v>89949</v>
      </c>
      <c r="T64" s="50">
        <f t="shared" si="9"/>
        <v>0.62931253540141008</v>
      </c>
      <c r="U64" s="27"/>
    </row>
    <row r="65" spans="1:21">
      <c r="A65" s="87" t="s">
        <v>14</v>
      </c>
      <c r="B65" s="87">
        <f t="shared" ref="B65:R65" si="18">SUM(B12,B17,B18,B19,B22,B26,B36,B43,B46,B50,B54,B57,B58:B64)</f>
        <v>329363</v>
      </c>
      <c r="C65" s="87">
        <f t="shared" si="18"/>
        <v>550003</v>
      </c>
      <c r="D65" s="87">
        <f t="shared" si="18"/>
        <v>225594</v>
      </c>
      <c r="E65" s="87">
        <f t="shared" si="18"/>
        <v>114199</v>
      </c>
      <c r="F65" s="87">
        <f t="shared" si="18"/>
        <v>2214279</v>
      </c>
      <c r="G65" s="87">
        <f t="shared" si="18"/>
        <v>3607258</v>
      </c>
      <c r="H65" s="87">
        <f t="shared" si="18"/>
        <v>114110</v>
      </c>
      <c r="I65" s="87">
        <f t="shared" si="18"/>
        <v>117100</v>
      </c>
      <c r="J65" s="87">
        <f t="shared" si="18"/>
        <v>1917106</v>
      </c>
      <c r="K65" s="87">
        <f t="shared" si="18"/>
        <v>55008</v>
      </c>
      <c r="L65" s="87">
        <f t="shared" si="18"/>
        <v>446114</v>
      </c>
      <c r="M65" s="87">
        <f t="shared" si="18"/>
        <v>223799</v>
      </c>
      <c r="N65" s="87">
        <f t="shared" si="18"/>
        <v>2311140</v>
      </c>
      <c r="O65" s="87">
        <f t="shared" si="18"/>
        <v>1258260</v>
      </c>
      <c r="P65" s="87">
        <f t="shared" si="18"/>
        <v>356036</v>
      </c>
      <c r="Q65" s="87">
        <f t="shared" si="18"/>
        <v>142381</v>
      </c>
      <c r="R65" s="87">
        <f t="shared" si="18"/>
        <v>311466</v>
      </c>
      <c r="S65" s="87">
        <f>SUM(B65:R65)</f>
        <v>14293216</v>
      </c>
      <c r="T65" s="53">
        <f t="shared" si="9"/>
        <v>100</v>
      </c>
      <c r="U65" s="6"/>
    </row>
    <row r="66" spans="1:21" ht="17.25">
      <c r="A66" s="76" t="s">
        <v>92</v>
      </c>
      <c r="B66" s="76" t="s">
        <v>112</v>
      </c>
      <c r="C66" s="77"/>
      <c r="D66" s="77"/>
      <c r="E66" s="77"/>
      <c r="F66" s="77"/>
      <c r="G66" s="77"/>
      <c r="H66" s="77"/>
      <c r="I66" s="77"/>
      <c r="J66" s="38"/>
      <c r="K66" s="77"/>
      <c r="L66" s="77"/>
      <c r="M66" s="77"/>
      <c r="N66" s="77"/>
      <c r="O66" s="77"/>
      <c r="P66" s="77"/>
      <c r="Q66" s="77"/>
      <c r="R66" s="77"/>
      <c r="S66" s="77"/>
      <c r="T66" s="78"/>
    </row>
    <row r="67" spans="1:21" ht="17.25">
      <c r="A67" s="76" t="s">
        <v>94</v>
      </c>
      <c r="B67" s="6"/>
      <c r="C67" s="6"/>
      <c r="D67" s="6"/>
      <c r="E67" s="6"/>
      <c r="F67" s="6"/>
      <c r="G67" s="7"/>
      <c r="H67" s="6"/>
      <c r="I67" s="6"/>
      <c r="J67" s="6"/>
      <c r="K67" s="6"/>
      <c r="L67" s="6"/>
      <c r="M67" s="8"/>
      <c r="N67" s="6"/>
      <c r="O67" s="6"/>
      <c r="P67" s="6"/>
      <c r="Q67" s="6"/>
      <c r="R67" s="6"/>
      <c r="S67" s="9"/>
      <c r="T67" s="73" t="s">
        <v>73</v>
      </c>
    </row>
    <row r="68" spans="1:21">
      <c r="B68" s="26"/>
      <c r="C68" s="26"/>
      <c r="D68" s="26"/>
      <c r="E68" s="26"/>
      <c r="F68" s="26"/>
      <c r="G68" s="82"/>
      <c r="H68" s="26"/>
      <c r="I68" s="26"/>
      <c r="J68" s="26"/>
      <c r="K68" s="26"/>
      <c r="L68" s="26"/>
      <c r="M68" s="82"/>
      <c r="N68" s="26"/>
      <c r="O68" s="26"/>
      <c r="P68" s="26"/>
      <c r="Q68" s="26"/>
      <c r="R68" s="26"/>
      <c r="S68" s="26"/>
    </row>
    <row r="69" spans="1:21">
      <c r="B69" s="74"/>
      <c r="C69" s="74">
        <f>550003-C65</f>
        <v>0</v>
      </c>
      <c r="D69" s="74"/>
      <c r="E69" s="74"/>
      <c r="F69" s="74"/>
      <c r="G69" s="74"/>
      <c r="H69" s="74"/>
      <c r="I69" s="74"/>
      <c r="J69" s="74"/>
      <c r="K69" s="74">
        <f>55008-K65</f>
        <v>0</v>
      </c>
      <c r="L69" s="74"/>
      <c r="M69" s="74"/>
      <c r="N69" s="74"/>
      <c r="O69" s="74"/>
      <c r="P69" s="74"/>
      <c r="Q69" s="74"/>
      <c r="R69" s="74"/>
    </row>
    <row r="70" spans="1:21">
      <c r="N70" s="74">
        <f>2311140-N65</f>
        <v>0</v>
      </c>
      <c r="S70" s="48"/>
    </row>
    <row r="71" spans="1:21">
      <c r="G71" s="93"/>
      <c r="S71" s="48"/>
    </row>
  </sheetData>
  <pageMargins left="0.70866141732283472" right="0.70866141732283472" top="0.74803149606299213" bottom="0.74803149606299213" header="0.31496062992125984" footer="0.31496062992125984"/>
  <pageSetup paperSize="8" scale="69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rowBreaks count="1" manualBreakCount="1">
    <brk id="49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74"/>
  <sheetViews>
    <sheetView showGridLines="0" view="pageBreakPreview" zoomScale="60" zoomScaleNormal="100" workbookViewId="0">
      <pane ySplit="4" topLeftCell="A5" activePane="bottomLeft" state="frozenSplit"/>
      <selection activeCell="D20" sqref="D20"/>
      <selection pane="bottomLeft"/>
    </sheetView>
  </sheetViews>
  <sheetFormatPr defaultColWidth="9.28515625" defaultRowHeight="15"/>
  <cols>
    <col min="1" max="1" width="24" style="2" customWidth="1"/>
    <col min="2" max="2" width="9" style="2" customWidth="1"/>
    <col min="3" max="3" width="9.42578125" style="2" customWidth="1"/>
    <col min="4" max="5" width="9" style="2" customWidth="1"/>
    <col min="6" max="6" width="10.5703125" style="2" customWidth="1"/>
    <col min="7" max="7" width="10.5703125" style="3" customWidth="1"/>
    <col min="8" max="8" width="11.42578125" style="2" customWidth="1"/>
    <col min="9" max="9" width="9.42578125" style="2" customWidth="1"/>
    <col min="10" max="10" width="10.5703125" style="2" customWidth="1"/>
    <col min="11" max="12" width="9" style="2" customWidth="1"/>
    <col min="13" max="13" width="9" style="3" customWidth="1"/>
    <col min="14" max="15" width="10.5703125" style="2" customWidth="1"/>
    <col min="16" max="18" width="9" style="2" customWidth="1"/>
    <col min="19" max="19" width="11.5703125" style="2" customWidth="1"/>
    <col min="20" max="20" width="8.42578125" style="71" customWidth="1"/>
    <col min="21" max="21" width="9.28515625" style="2" customWidth="1"/>
    <col min="22" max="16384" width="9.28515625" style="2"/>
  </cols>
  <sheetData>
    <row r="1" spans="1:23" ht="22.9" customHeight="1">
      <c r="B1" s="1" t="s">
        <v>104</v>
      </c>
    </row>
    <row r="2" spans="1:23" ht="15.75">
      <c r="B2" s="5" t="s">
        <v>105</v>
      </c>
      <c r="C2" s="6"/>
      <c r="D2" s="6"/>
      <c r="E2" s="6"/>
      <c r="F2" s="6"/>
      <c r="G2" s="7"/>
      <c r="H2" s="6"/>
      <c r="I2" s="6"/>
      <c r="J2" s="6"/>
      <c r="K2" s="6"/>
      <c r="L2" s="6"/>
      <c r="M2" s="8"/>
      <c r="N2" s="6"/>
      <c r="O2" s="6"/>
      <c r="P2" s="6"/>
      <c r="Q2" s="6"/>
      <c r="R2" s="6"/>
      <c r="S2" s="47"/>
      <c r="T2" s="72"/>
      <c r="U2" s="6"/>
    </row>
    <row r="3" spans="1:23" ht="10.5" customHeight="1">
      <c r="A3" s="6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9"/>
      <c r="T3" s="72"/>
      <c r="U3" s="6"/>
    </row>
    <row r="4" spans="1:23" ht="20.25" customHeight="1">
      <c r="A4" s="80" t="s">
        <v>0</v>
      </c>
      <c r="B4" s="81" t="s">
        <v>1</v>
      </c>
      <c r="C4" s="81" t="s">
        <v>2</v>
      </c>
      <c r="D4" s="81" t="s">
        <v>82</v>
      </c>
      <c r="E4" s="81" t="s">
        <v>79</v>
      </c>
      <c r="F4" s="81" t="s">
        <v>3</v>
      </c>
      <c r="G4" s="81" t="s">
        <v>80</v>
      </c>
      <c r="H4" s="81" t="s">
        <v>4</v>
      </c>
      <c r="I4" s="81" t="s">
        <v>5</v>
      </c>
      <c r="J4" s="81" t="s">
        <v>81</v>
      </c>
      <c r="K4" s="81" t="s">
        <v>6</v>
      </c>
      <c r="L4" s="81" t="s">
        <v>7</v>
      </c>
      <c r="M4" s="81" t="s">
        <v>8</v>
      </c>
      <c r="N4" s="81" t="s">
        <v>9</v>
      </c>
      <c r="O4" s="81" t="s">
        <v>10</v>
      </c>
      <c r="P4" s="81" t="s">
        <v>11</v>
      </c>
      <c r="Q4" s="81" t="s">
        <v>12</v>
      </c>
      <c r="R4" s="81" t="s">
        <v>13</v>
      </c>
      <c r="S4" s="81" t="s">
        <v>85</v>
      </c>
      <c r="T4" s="81" t="s">
        <v>15</v>
      </c>
      <c r="U4" s="11"/>
    </row>
    <row r="5" spans="1:23">
      <c r="A5" s="12" t="s">
        <v>16</v>
      </c>
      <c r="B5" s="54">
        <f>13208+69</f>
        <v>13277</v>
      </c>
      <c r="C5" s="54">
        <v>28710</v>
      </c>
      <c r="D5" s="54">
        <v>8069</v>
      </c>
      <c r="E5" s="54">
        <v>4917</v>
      </c>
      <c r="F5" s="54">
        <v>51582</v>
      </c>
      <c r="G5" s="54">
        <v>255300</v>
      </c>
      <c r="H5" s="54">
        <v>2662</v>
      </c>
      <c r="I5" s="54">
        <v>4919</v>
      </c>
      <c r="J5" s="54">
        <v>62787</v>
      </c>
      <c r="K5" s="54">
        <v>3498</v>
      </c>
      <c r="L5" s="54">
        <v>13912</v>
      </c>
      <c r="M5" s="55">
        <v>4851</v>
      </c>
      <c r="N5" s="54">
        <v>143739</v>
      </c>
      <c r="O5" s="54">
        <v>55216</v>
      </c>
      <c r="P5" s="54">
        <v>17469</v>
      </c>
      <c r="Q5" s="54">
        <v>4813</v>
      </c>
      <c r="R5" s="54">
        <v>18378</v>
      </c>
      <c r="S5" s="56">
        <f>SUM(B5:R5)</f>
        <v>694099</v>
      </c>
      <c r="T5" s="49">
        <f t="shared" ref="T5:T43" si="0">S5/S$67*100</f>
        <v>4.8901800379336482</v>
      </c>
      <c r="U5" s="6"/>
    </row>
    <row r="6" spans="1:23">
      <c r="A6" s="14" t="s">
        <v>77</v>
      </c>
      <c r="B6" s="57">
        <v>65</v>
      </c>
      <c r="C6" s="57">
        <v>70</v>
      </c>
      <c r="D6" s="57">
        <v>0</v>
      </c>
      <c r="E6" s="57">
        <v>2</v>
      </c>
      <c r="F6" s="57">
        <v>82</v>
      </c>
      <c r="G6" s="57">
        <v>821</v>
      </c>
      <c r="H6" s="57">
        <v>3</v>
      </c>
      <c r="I6" s="57">
        <v>6</v>
      </c>
      <c r="J6" s="57">
        <v>9</v>
      </c>
      <c r="K6" s="57">
        <v>38</v>
      </c>
      <c r="L6" s="57">
        <v>46</v>
      </c>
      <c r="M6" s="58">
        <v>17</v>
      </c>
      <c r="N6" s="59">
        <v>1542</v>
      </c>
      <c r="O6" s="57">
        <v>52</v>
      </c>
      <c r="P6" s="57">
        <v>0</v>
      </c>
      <c r="Q6" s="57">
        <v>0</v>
      </c>
      <c r="R6" s="57">
        <v>0</v>
      </c>
      <c r="S6" s="60">
        <f t="shared" ref="S6:S11" si="1">SUM(B6:R6)</f>
        <v>2753</v>
      </c>
      <c r="T6" s="50">
        <f t="shared" si="0"/>
        <v>1.9395886817919827E-2</v>
      </c>
      <c r="U6" s="6"/>
    </row>
    <row r="7" spans="1:23">
      <c r="A7" s="14" t="s">
        <v>18</v>
      </c>
      <c r="B7" s="57">
        <v>43</v>
      </c>
      <c r="C7" s="57">
        <v>22</v>
      </c>
      <c r="D7" s="57">
        <v>3</v>
      </c>
      <c r="E7" s="57">
        <v>1</v>
      </c>
      <c r="F7" s="57">
        <v>81</v>
      </c>
      <c r="G7" s="57">
        <v>468</v>
      </c>
      <c r="H7" s="57">
        <v>0</v>
      </c>
      <c r="I7" s="61">
        <v>0</v>
      </c>
      <c r="J7" s="57">
        <v>212</v>
      </c>
      <c r="K7" s="57">
        <v>42</v>
      </c>
      <c r="L7" s="57">
        <v>19</v>
      </c>
      <c r="M7" s="58">
        <v>7</v>
      </c>
      <c r="N7" s="57">
        <v>0</v>
      </c>
      <c r="O7" s="57">
        <v>15</v>
      </c>
      <c r="P7" s="57">
        <v>0</v>
      </c>
      <c r="Q7" s="57">
        <v>0</v>
      </c>
      <c r="R7" s="57">
        <v>0</v>
      </c>
      <c r="S7" s="60">
        <f t="shared" si="1"/>
        <v>913</v>
      </c>
      <c r="T7" s="50">
        <f t="shared" si="0"/>
        <v>6.4324172411045419E-3</v>
      </c>
      <c r="U7" s="6"/>
    </row>
    <row r="8" spans="1:23">
      <c r="A8" s="14" t="s">
        <v>69</v>
      </c>
      <c r="B8" s="57">
        <v>1338</v>
      </c>
      <c r="C8" s="57">
        <v>3222</v>
      </c>
      <c r="D8" s="57">
        <v>114</v>
      </c>
      <c r="E8" s="57">
        <v>300</v>
      </c>
      <c r="F8" s="57">
        <v>4567</v>
      </c>
      <c r="G8" s="57">
        <v>28695</v>
      </c>
      <c r="H8" s="57">
        <v>72</v>
      </c>
      <c r="I8" s="57">
        <v>74</v>
      </c>
      <c r="J8" s="57">
        <v>5295</v>
      </c>
      <c r="K8" s="57">
        <v>860</v>
      </c>
      <c r="L8" s="57">
        <v>1486</v>
      </c>
      <c r="M8" s="58">
        <v>260</v>
      </c>
      <c r="N8" s="57">
        <v>12437</v>
      </c>
      <c r="O8" s="57">
        <v>2253</v>
      </c>
      <c r="P8" s="57">
        <v>1833</v>
      </c>
      <c r="Q8" s="57">
        <v>0</v>
      </c>
      <c r="R8" s="57">
        <v>3565</v>
      </c>
      <c r="S8" s="60">
        <f t="shared" si="1"/>
        <v>66371</v>
      </c>
      <c r="T8" s="50">
        <f t="shared" si="0"/>
        <v>0.46760784743630829</v>
      </c>
      <c r="U8" s="6"/>
    </row>
    <row r="9" spans="1:23">
      <c r="A9" s="14" t="s">
        <v>19</v>
      </c>
      <c r="B9" s="57">
        <v>18713</v>
      </c>
      <c r="C9" s="57">
        <v>9530</v>
      </c>
      <c r="D9" s="57">
        <v>4192</v>
      </c>
      <c r="E9" s="57">
        <v>2629</v>
      </c>
      <c r="F9" s="57">
        <v>31219</v>
      </c>
      <c r="G9" s="57">
        <v>121724</v>
      </c>
      <c r="H9" s="57">
        <v>2669</v>
      </c>
      <c r="I9" s="57">
        <v>3688</v>
      </c>
      <c r="J9" s="57">
        <v>19958</v>
      </c>
      <c r="K9" s="57">
        <v>1138</v>
      </c>
      <c r="L9" s="57">
        <v>9836</v>
      </c>
      <c r="M9" s="58">
        <v>9607</v>
      </c>
      <c r="N9" s="57">
        <v>62863</v>
      </c>
      <c r="O9" s="57">
        <v>107328</v>
      </c>
      <c r="P9" s="57">
        <v>6916</v>
      </c>
      <c r="Q9" s="57">
        <v>0</v>
      </c>
      <c r="R9" s="57">
        <v>11468</v>
      </c>
      <c r="S9" s="60">
        <f t="shared" si="1"/>
        <v>423478</v>
      </c>
      <c r="T9" s="50">
        <f t="shared" si="0"/>
        <v>2.9835566138318388</v>
      </c>
      <c r="U9" s="6"/>
      <c r="V9" s="38"/>
      <c r="W9" s="38"/>
    </row>
    <row r="10" spans="1:23">
      <c r="A10" s="14" t="s">
        <v>20</v>
      </c>
      <c r="B10" s="57">
        <v>25434</v>
      </c>
      <c r="C10" s="57">
        <v>20017</v>
      </c>
      <c r="D10" s="57">
        <v>12931</v>
      </c>
      <c r="E10" s="57">
        <v>11697</v>
      </c>
      <c r="F10" s="57">
        <v>31423</v>
      </c>
      <c r="G10" s="57">
        <v>196968</v>
      </c>
      <c r="H10" s="57">
        <v>3607</v>
      </c>
      <c r="I10" s="57">
        <v>9116</v>
      </c>
      <c r="J10" s="57">
        <v>25399</v>
      </c>
      <c r="K10" s="57">
        <v>2230</v>
      </c>
      <c r="L10" s="57">
        <v>18710</v>
      </c>
      <c r="M10" s="58">
        <v>1792</v>
      </c>
      <c r="N10" s="57">
        <v>74724</v>
      </c>
      <c r="O10" s="57">
        <v>29460</v>
      </c>
      <c r="P10" s="57">
        <v>17165</v>
      </c>
      <c r="Q10" s="57">
        <v>7733</v>
      </c>
      <c r="R10" s="57">
        <v>19160</v>
      </c>
      <c r="S10" s="60">
        <f t="shared" si="1"/>
        <v>507566</v>
      </c>
      <c r="T10" s="50">
        <f t="shared" si="0"/>
        <v>3.5759871734922974</v>
      </c>
      <c r="U10" s="6"/>
    </row>
    <row r="11" spans="1:23">
      <c r="A11" s="14" t="s">
        <v>21</v>
      </c>
      <c r="B11" s="57">
        <f>56301+629+2</f>
        <v>56932</v>
      </c>
      <c r="C11" s="57">
        <v>52738</v>
      </c>
      <c r="D11" s="57">
        <v>31986</v>
      </c>
      <c r="E11" s="57">
        <v>13274</v>
      </c>
      <c r="F11" s="57">
        <v>140314</v>
      </c>
      <c r="G11" s="57">
        <v>643518</v>
      </c>
      <c r="H11" s="57">
        <v>9023</v>
      </c>
      <c r="I11" s="57">
        <v>13775</v>
      </c>
      <c r="J11" s="57">
        <v>162890</v>
      </c>
      <c r="K11" s="57">
        <v>6496</v>
      </c>
      <c r="L11" s="57">
        <v>50188</v>
      </c>
      <c r="M11" s="58">
        <v>12407</v>
      </c>
      <c r="N11" s="57">
        <v>203133</v>
      </c>
      <c r="O11" s="57">
        <v>102954</v>
      </c>
      <c r="P11" s="57">
        <v>53471</v>
      </c>
      <c r="Q11" s="57">
        <v>20071</v>
      </c>
      <c r="R11" s="57">
        <v>32949</v>
      </c>
      <c r="S11" s="60">
        <f t="shared" si="1"/>
        <v>1606119</v>
      </c>
      <c r="T11" s="50">
        <f t="shared" si="0"/>
        <v>11.315692822415755</v>
      </c>
      <c r="U11" s="6"/>
    </row>
    <row r="12" spans="1:23">
      <c r="A12" s="16" t="s">
        <v>23</v>
      </c>
      <c r="B12" s="62">
        <f t="shared" ref="B12:R12" si="2">SUM(B5:B11)</f>
        <v>115802</v>
      </c>
      <c r="C12" s="62">
        <f t="shared" si="2"/>
        <v>114309</v>
      </c>
      <c r="D12" s="62">
        <f t="shared" si="2"/>
        <v>57295</v>
      </c>
      <c r="E12" s="62">
        <f>SUM(E5:E11)</f>
        <v>32820</v>
      </c>
      <c r="F12" s="62">
        <f t="shared" si="2"/>
        <v>259268</v>
      </c>
      <c r="G12" s="62">
        <f t="shared" si="2"/>
        <v>1247494</v>
      </c>
      <c r="H12" s="62">
        <f>SUM(H5:H11)</f>
        <v>18036</v>
      </c>
      <c r="I12" s="62">
        <f t="shared" si="2"/>
        <v>31578</v>
      </c>
      <c r="J12" s="62">
        <f>SUM(J5:J11)</f>
        <v>276550</v>
      </c>
      <c r="K12" s="62">
        <f t="shared" si="2"/>
        <v>14302</v>
      </c>
      <c r="L12" s="62">
        <f>SUM(L5:L11)</f>
        <v>94197</v>
      </c>
      <c r="M12" s="62">
        <f t="shared" si="2"/>
        <v>28941</v>
      </c>
      <c r="N12" s="62">
        <f t="shared" si="2"/>
        <v>498438</v>
      </c>
      <c r="O12" s="62">
        <f t="shared" si="2"/>
        <v>297278</v>
      </c>
      <c r="P12" s="62">
        <f t="shared" si="2"/>
        <v>96854</v>
      </c>
      <c r="Q12" s="62">
        <f t="shared" si="2"/>
        <v>32617</v>
      </c>
      <c r="R12" s="62">
        <f t="shared" si="2"/>
        <v>85520</v>
      </c>
      <c r="S12" s="62">
        <f t="shared" ref="S12:S43" si="3">SUM(B12:R12)</f>
        <v>3301299</v>
      </c>
      <c r="T12" s="51">
        <f t="shared" si="0"/>
        <v>23.258852799168871</v>
      </c>
      <c r="U12" s="6"/>
    </row>
    <row r="13" spans="1:23">
      <c r="A13" s="14" t="s">
        <v>24</v>
      </c>
      <c r="B13" s="57">
        <v>7593</v>
      </c>
      <c r="C13" s="57">
        <v>23561</v>
      </c>
      <c r="D13" s="57">
        <v>13952</v>
      </c>
      <c r="E13" s="57">
        <v>1730</v>
      </c>
      <c r="F13" s="57">
        <v>213844</v>
      </c>
      <c r="G13" s="57">
        <v>55223</v>
      </c>
      <c r="H13" s="57">
        <v>5387</v>
      </c>
      <c r="I13" s="57">
        <v>1115</v>
      </c>
      <c r="J13" s="57">
        <v>82946</v>
      </c>
      <c r="K13" s="57">
        <v>1590</v>
      </c>
      <c r="L13" s="57">
        <v>13944</v>
      </c>
      <c r="M13" s="58">
        <v>12809</v>
      </c>
      <c r="N13" s="57">
        <v>49618</v>
      </c>
      <c r="O13" s="57">
        <v>68917</v>
      </c>
      <c r="P13" s="57">
        <v>4438</v>
      </c>
      <c r="Q13" s="57">
        <v>1704</v>
      </c>
      <c r="R13" s="57">
        <v>6416</v>
      </c>
      <c r="S13" s="60">
        <f t="shared" si="3"/>
        <v>564787</v>
      </c>
      <c r="T13" s="50">
        <f t="shared" si="0"/>
        <v>3.9791299412395515</v>
      </c>
      <c r="U13" s="6"/>
    </row>
    <row r="14" spans="1:23">
      <c r="A14" s="14" t="s">
        <v>87</v>
      </c>
      <c r="B14" s="57">
        <v>255</v>
      </c>
      <c r="C14" s="57">
        <v>1863</v>
      </c>
      <c r="D14" s="57">
        <v>541</v>
      </c>
      <c r="E14" s="57">
        <v>7</v>
      </c>
      <c r="F14" s="57">
        <v>24004</v>
      </c>
      <c r="G14" s="57">
        <v>3732</v>
      </c>
      <c r="H14" s="57">
        <v>0</v>
      </c>
      <c r="I14" s="57">
        <v>14</v>
      </c>
      <c r="J14" s="57">
        <v>2664</v>
      </c>
      <c r="K14" s="57">
        <v>269</v>
      </c>
      <c r="L14" s="57">
        <v>701</v>
      </c>
      <c r="M14" s="58">
        <v>721</v>
      </c>
      <c r="N14" s="57">
        <v>5074</v>
      </c>
      <c r="O14" s="57">
        <v>4325</v>
      </c>
      <c r="P14" s="57">
        <v>38</v>
      </c>
      <c r="Q14" s="57">
        <v>0</v>
      </c>
      <c r="R14" s="57">
        <v>747</v>
      </c>
      <c r="S14" s="60">
        <f t="shared" si="3"/>
        <v>44955</v>
      </c>
      <c r="T14" s="50">
        <f t="shared" si="0"/>
        <v>0.31672433414441914</v>
      </c>
      <c r="U14" s="6"/>
    </row>
    <row r="15" spans="1:23">
      <c r="A15" s="14" t="s">
        <v>25</v>
      </c>
      <c r="B15" s="57">
        <v>11092</v>
      </c>
      <c r="C15" s="57">
        <v>42623</v>
      </c>
      <c r="D15" s="57">
        <v>20620</v>
      </c>
      <c r="E15" s="57">
        <v>3025</v>
      </c>
      <c r="F15" s="57">
        <v>389518</v>
      </c>
      <c r="G15" s="57">
        <v>68237</v>
      </c>
      <c r="H15" s="57">
        <v>8371</v>
      </c>
      <c r="I15" s="57">
        <v>5596</v>
      </c>
      <c r="J15" s="57">
        <v>108523</v>
      </c>
      <c r="K15" s="57">
        <v>3194</v>
      </c>
      <c r="L15" s="57">
        <v>31656</v>
      </c>
      <c r="M15" s="58">
        <v>22977</v>
      </c>
      <c r="N15" s="57">
        <v>81043</v>
      </c>
      <c r="O15" s="57">
        <v>98914</v>
      </c>
      <c r="P15" s="57">
        <v>0</v>
      </c>
      <c r="Q15" s="57">
        <v>5050</v>
      </c>
      <c r="R15" s="57">
        <v>9712</v>
      </c>
      <c r="S15" s="60">
        <f t="shared" si="3"/>
        <v>910151</v>
      </c>
      <c r="T15" s="50">
        <f t="shared" si="0"/>
        <v>6.4123449993521788</v>
      </c>
      <c r="U15" s="6"/>
      <c r="V15" s="3"/>
      <c r="W15" s="3"/>
    </row>
    <row r="16" spans="1:23">
      <c r="A16" s="14" t="s">
        <v>30</v>
      </c>
      <c r="B16" s="57">
        <f>19137+15</f>
        <v>19152</v>
      </c>
      <c r="C16" s="57">
        <v>34420</v>
      </c>
      <c r="D16" s="57">
        <v>10689</v>
      </c>
      <c r="E16" s="57">
        <v>6276</v>
      </c>
      <c r="F16" s="57">
        <v>71619</v>
      </c>
      <c r="G16" s="57">
        <v>227967</v>
      </c>
      <c r="H16" s="57">
        <v>6931</v>
      </c>
      <c r="I16" s="57">
        <v>4907</v>
      </c>
      <c r="J16" s="57">
        <v>95334</v>
      </c>
      <c r="K16" s="57">
        <f>1811+80</f>
        <v>1891</v>
      </c>
      <c r="L16" s="57">
        <v>36410</v>
      </c>
      <c r="M16" s="58">
        <v>12701</v>
      </c>
      <c r="N16" s="57">
        <v>177298</v>
      </c>
      <c r="O16" s="57">
        <v>79755</v>
      </c>
      <c r="P16" s="57">
        <v>5763</v>
      </c>
      <c r="Q16" s="57">
        <v>3196</v>
      </c>
      <c r="R16" s="57">
        <v>11933</v>
      </c>
      <c r="S16" s="60">
        <f t="shared" si="3"/>
        <v>806242</v>
      </c>
      <c r="T16" s="50">
        <f t="shared" si="0"/>
        <v>5.6802682818210375</v>
      </c>
      <c r="U16" s="6"/>
    </row>
    <row r="17" spans="1:23">
      <c r="A17" s="16" t="s">
        <v>26</v>
      </c>
      <c r="B17" s="62">
        <f>+B15+B14+B13+B16</f>
        <v>38092</v>
      </c>
      <c r="C17" s="62">
        <f t="shared" ref="C17:R17" si="4">+C15+C14+C13+C16</f>
        <v>102467</v>
      </c>
      <c r="D17" s="62">
        <f t="shared" si="4"/>
        <v>45802</v>
      </c>
      <c r="E17" s="62">
        <f t="shared" si="4"/>
        <v>11038</v>
      </c>
      <c r="F17" s="62">
        <f t="shared" si="4"/>
        <v>698985</v>
      </c>
      <c r="G17" s="62">
        <f t="shared" si="4"/>
        <v>355159</v>
      </c>
      <c r="H17" s="62">
        <f t="shared" si="4"/>
        <v>20689</v>
      </c>
      <c r="I17" s="62">
        <f t="shared" si="4"/>
        <v>11632</v>
      </c>
      <c r="J17" s="62">
        <f t="shared" si="4"/>
        <v>289467</v>
      </c>
      <c r="K17" s="62">
        <f t="shared" si="4"/>
        <v>6944</v>
      </c>
      <c r="L17" s="62">
        <f>+L15+L14+L13+L16</f>
        <v>82711</v>
      </c>
      <c r="M17" s="62">
        <f t="shared" si="4"/>
        <v>49208</v>
      </c>
      <c r="N17" s="62">
        <f t="shared" si="4"/>
        <v>313033</v>
      </c>
      <c r="O17" s="62">
        <f t="shared" si="4"/>
        <v>251911</v>
      </c>
      <c r="P17" s="62">
        <f t="shared" si="4"/>
        <v>10239</v>
      </c>
      <c r="Q17" s="62">
        <f t="shared" si="4"/>
        <v>9950</v>
      </c>
      <c r="R17" s="62">
        <f t="shared" si="4"/>
        <v>28808</v>
      </c>
      <c r="S17" s="62">
        <f t="shared" si="3"/>
        <v>2326135</v>
      </c>
      <c r="T17" s="51">
        <f t="shared" si="0"/>
        <v>16.388467556557188</v>
      </c>
      <c r="U17" s="6"/>
    </row>
    <row r="18" spans="1:23">
      <c r="A18" s="16" t="s">
        <v>27</v>
      </c>
      <c r="B18" s="62">
        <f>162+18914+653+187</f>
        <v>19916</v>
      </c>
      <c r="C18" s="62">
        <v>23830</v>
      </c>
      <c r="D18" s="62">
        <v>13263</v>
      </c>
      <c r="E18" s="62">
        <f>8733</f>
        <v>8733</v>
      </c>
      <c r="F18" s="62">
        <v>82633</v>
      </c>
      <c r="G18" s="62">
        <v>252323</v>
      </c>
      <c r="H18" s="62">
        <v>4172</v>
      </c>
      <c r="I18" s="62">
        <v>11306</v>
      </c>
      <c r="J18" s="62">
        <v>129636</v>
      </c>
      <c r="K18" s="62">
        <f>1727+88+45+606</f>
        <v>2466</v>
      </c>
      <c r="L18" s="62">
        <v>24757</v>
      </c>
      <c r="M18" s="63">
        <v>9528</v>
      </c>
      <c r="N18" s="62">
        <v>254082</v>
      </c>
      <c r="O18" s="62">
        <v>63301</v>
      </c>
      <c r="P18" s="62">
        <v>10051</v>
      </c>
      <c r="Q18" s="62">
        <v>5038</v>
      </c>
      <c r="R18" s="62">
        <v>15185</v>
      </c>
      <c r="S18" s="62">
        <f t="shared" si="3"/>
        <v>930220</v>
      </c>
      <c r="T18" s="51">
        <f t="shared" si="0"/>
        <v>6.5537384074701706</v>
      </c>
      <c r="U18" s="6"/>
    </row>
    <row r="19" spans="1:23">
      <c r="A19" s="16" t="s">
        <v>28</v>
      </c>
      <c r="B19" s="62">
        <f>3981+85</f>
        <v>4066</v>
      </c>
      <c r="C19" s="62">
        <v>20155</v>
      </c>
      <c r="D19" s="62">
        <v>4640</v>
      </c>
      <c r="E19" s="62">
        <v>9201</v>
      </c>
      <c r="F19" s="62">
        <v>18349</v>
      </c>
      <c r="G19" s="62">
        <v>45405</v>
      </c>
      <c r="H19" s="62">
        <v>1695</v>
      </c>
      <c r="I19" s="62">
        <v>1730</v>
      </c>
      <c r="J19" s="62">
        <v>19083</v>
      </c>
      <c r="K19" s="62">
        <v>1913</v>
      </c>
      <c r="L19" s="62">
        <v>16253</v>
      </c>
      <c r="M19" s="63">
        <v>5088</v>
      </c>
      <c r="N19" s="62">
        <v>50319</v>
      </c>
      <c r="O19" s="62">
        <v>15866</v>
      </c>
      <c r="P19" s="62">
        <v>69943</v>
      </c>
      <c r="Q19" s="62">
        <v>11378</v>
      </c>
      <c r="R19" s="62">
        <v>8122</v>
      </c>
      <c r="S19" s="62">
        <f t="shared" si="3"/>
        <v>303206</v>
      </c>
      <c r="T19" s="51">
        <f t="shared" si="0"/>
        <v>2.1361966067977476</v>
      </c>
      <c r="U19" s="6"/>
    </row>
    <row r="20" spans="1:23" s="38" customFormat="1">
      <c r="A20" s="39" t="s">
        <v>75</v>
      </c>
      <c r="B20" s="57">
        <v>12</v>
      </c>
      <c r="C20" s="57">
        <v>11</v>
      </c>
      <c r="D20" s="57">
        <v>1</v>
      </c>
      <c r="E20" s="57">
        <v>0</v>
      </c>
      <c r="F20" s="57">
        <v>19</v>
      </c>
      <c r="G20" s="57">
        <v>590</v>
      </c>
      <c r="H20" s="57">
        <v>0</v>
      </c>
      <c r="I20" s="57">
        <v>0</v>
      </c>
      <c r="J20" s="57">
        <v>0</v>
      </c>
      <c r="K20" s="57">
        <v>39</v>
      </c>
      <c r="L20" s="57">
        <v>6</v>
      </c>
      <c r="M20" s="58">
        <v>0</v>
      </c>
      <c r="N20" s="57">
        <v>0</v>
      </c>
      <c r="O20" s="57">
        <v>0</v>
      </c>
      <c r="P20" s="57">
        <v>0</v>
      </c>
      <c r="Q20" s="57">
        <v>0</v>
      </c>
      <c r="R20" s="57">
        <v>0</v>
      </c>
      <c r="S20" s="64">
        <f t="shared" si="3"/>
        <v>678</v>
      </c>
      <c r="T20" s="52">
        <f t="shared" si="0"/>
        <v>4.7767567245004146E-3</v>
      </c>
      <c r="U20" s="27"/>
      <c r="V20" s="2"/>
      <c r="W20" s="2"/>
    </row>
    <row r="21" spans="1:23">
      <c r="A21" s="14" t="s">
        <v>29</v>
      </c>
      <c r="B21" s="57">
        <v>40</v>
      </c>
      <c r="C21" s="57">
        <v>32</v>
      </c>
      <c r="D21" s="57">
        <v>0</v>
      </c>
      <c r="E21" s="57" t="s">
        <v>111</v>
      </c>
      <c r="F21" s="57">
        <v>92</v>
      </c>
      <c r="G21" s="57">
        <v>1118</v>
      </c>
      <c r="H21" s="57">
        <v>2</v>
      </c>
      <c r="I21" s="57">
        <v>0</v>
      </c>
      <c r="J21" s="57">
        <v>0</v>
      </c>
      <c r="K21" s="57">
        <v>68</v>
      </c>
      <c r="L21" s="57">
        <v>5</v>
      </c>
      <c r="M21" s="58">
        <v>0</v>
      </c>
      <c r="N21" s="57">
        <v>41</v>
      </c>
      <c r="O21" s="57">
        <v>0</v>
      </c>
      <c r="P21" s="57">
        <v>0</v>
      </c>
      <c r="Q21" s="57">
        <v>0</v>
      </c>
      <c r="R21" s="57">
        <v>0</v>
      </c>
      <c r="S21" s="60">
        <f t="shared" si="3"/>
        <v>1398</v>
      </c>
      <c r="T21" s="50">
        <f t="shared" si="0"/>
        <v>9.849418732819441E-3</v>
      </c>
      <c r="U21" s="6"/>
    </row>
    <row r="22" spans="1:23">
      <c r="A22" s="14" t="s">
        <v>22</v>
      </c>
      <c r="B22" s="57">
        <v>0</v>
      </c>
      <c r="C22" s="57">
        <v>0</v>
      </c>
      <c r="D22" s="57">
        <v>0</v>
      </c>
      <c r="E22" s="57">
        <v>0</v>
      </c>
      <c r="F22" s="57" t="s">
        <v>111</v>
      </c>
      <c r="G22" s="57">
        <v>0</v>
      </c>
      <c r="H22" s="57">
        <v>0</v>
      </c>
      <c r="I22" s="57">
        <v>0</v>
      </c>
      <c r="J22" s="57">
        <v>0</v>
      </c>
      <c r="K22" s="57">
        <v>2</v>
      </c>
      <c r="L22" s="57">
        <v>0</v>
      </c>
      <c r="M22" s="58">
        <v>0</v>
      </c>
      <c r="N22" s="57">
        <v>0</v>
      </c>
      <c r="O22" s="57">
        <v>0</v>
      </c>
      <c r="P22" s="57">
        <v>0</v>
      </c>
      <c r="Q22" s="57">
        <v>0</v>
      </c>
      <c r="R22" s="57">
        <v>0</v>
      </c>
      <c r="S22" s="60">
        <f t="shared" si="3"/>
        <v>2</v>
      </c>
      <c r="T22" s="50">
        <f t="shared" si="0"/>
        <v>1.409072780088618E-5</v>
      </c>
      <c r="U22" s="6"/>
    </row>
    <row r="23" spans="1:23">
      <c r="A23" s="16" t="s">
        <v>31</v>
      </c>
      <c r="B23" s="62">
        <f t="shared" ref="B23:R23" si="5">SUM(B20:B22)</f>
        <v>52</v>
      </c>
      <c r="C23" s="62">
        <f t="shared" si="5"/>
        <v>43</v>
      </c>
      <c r="D23" s="62">
        <f t="shared" si="5"/>
        <v>1</v>
      </c>
      <c r="E23" s="62">
        <f t="shared" si="5"/>
        <v>0</v>
      </c>
      <c r="F23" s="62">
        <f t="shared" si="5"/>
        <v>111</v>
      </c>
      <c r="G23" s="62">
        <f t="shared" si="5"/>
        <v>1708</v>
      </c>
      <c r="H23" s="62">
        <f t="shared" si="5"/>
        <v>2</v>
      </c>
      <c r="I23" s="62">
        <f t="shared" si="5"/>
        <v>0</v>
      </c>
      <c r="J23" s="62">
        <f t="shared" si="5"/>
        <v>0</v>
      </c>
      <c r="K23" s="62">
        <f t="shared" si="5"/>
        <v>109</v>
      </c>
      <c r="L23" s="62">
        <f t="shared" si="5"/>
        <v>11</v>
      </c>
      <c r="M23" s="62">
        <f t="shared" si="5"/>
        <v>0</v>
      </c>
      <c r="N23" s="62">
        <f t="shared" si="5"/>
        <v>41</v>
      </c>
      <c r="O23" s="62">
        <f t="shared" si="5"/>
        <v>0</v>
      </c>
      <c r="P23" s="62">
        <f t="shared" si="5"/>
        <v>0</v>
      </c>
      <c r="Q23" s="62">
        <f t="shared" si="5"/>
        <v>0</v>
      </c>
      <c r="R23" s="62">
        <f t="shared" si="5"/>
        <v>0</v>
      </c>
      <c r="S23" s="62">
        <f t="shared" si="3"/>
        <v>2078</v>
      </c>
      <c r="T23" s="51">
        <f t="shared" si="0"/>
        <v>1.4640266185120739E-2</v>
      </c>
      <c r="U23" s="9"/>
    </row>
    <row r="24" spans="1:23" s="3" customFormat="1">
      <c r="A24" s="20" t="s">
        <v>32</v>
      </c>
      <c r="B24" s="57">
        <v>9595</v>
      </c>
      <c r="C24" s="57">
        <v>19658</v>
      </c>
      <c r="D24" s="57">
        <v>2026</v>
      </c>
      <c r="E24" s="57">
        <v>1937</v>
      </c>
      <c r="F24" s="57">
        <v>140326</v>
      </c>
      <c r="G24" s="57">
        <v>71746</v>
      </c>
      <c r="H24" s="57">
        <v>1320</v>
      </c>
      <c r="I24" s="57">
        <v>3624</v>
      </c>
      <c r="J24" s="57">
        <v>61642</v>
      </c>
      <c r="K24" s="57">
        <v>803</v>
      </c>
      <c r="L24" s="57">
        <v>4334</v>
      </c>
      <c r="M24" s="58">
        <v>6508</v>
      </c>
      <c r="N24" s="57">
        <v>24169</v>
      </c>
      <c r="O24" s="57">
        <v>51928</v>
      </c>
      <c r="P24" s="57">
        <v>4083</v>
      </c>
      <c r="Q24" s="57">
        <v>0</v>
      </c>
      <c r="R24" s="57">
        <v>8301</v>
      </c>
      <c r="S24" s="60">
        <f t="shared" si="3"/>
        <v>412000</v>
      </c>
      <c r="T24" s="50">
        <f t="shared" si="0"/>
        <v>2.902689926982553</v>
      </c>
      <c r="U24" s="21"/>
      <c r="V24" s="2"/>
      <c r="W24" s="2"/>
    </row>
    <row r="25" spans="1:23" s="3" customFormat="1">
      <c r="A25" s="20" t="s">
        <v>33</v>
      </c>
      <c r="B25" s="57">
        <v>18609</v>
      </c>
      <c r="C25" s="57">
        <v>50221</v>
      </c>
      <c r="D25" s="57">
        <v>12393</v>
      </c>
      <c r="E25" s="57">
        <v>3182</v>
      </c>
      <c r="F25" s="57">
        <f>1156+406222</f>
        <v>407378</v>
      </c>
      <c r="G25" s="57">
        <v>130825</v>
      </c>
      <c r="H25" s="57">
        <v>4188</v>
      </c>
      <c r="I25" s="57">
        <v>7176</v>
      </c>
      <c r="J25" s="57">
        <v>125205</v>
      </c>
      <c r="K25" s="57">
        <v>3752</v>
      </c>
      <c r="L25" s="57">
        <v>38437</v>
      </c>
      <c r="M25" s="58">
        <v>31215</v>
      </c>
      <c r="N25" s="57">
        <v>62168</v>
      </c>
      <c r="O25" s="57">
        <v>96198</v>
      </c>
      <c r="P25" s="57">
        <v>13367</v>
      </c>
      <c r="Q25" s="57">
        <v>4003</v>
      </c>
      <c r="R25" s="57">
        <v>12729</v>
      </c>
      <c r="S25" s="60">
        <f t="shared" si="3"/>
        <v>1021046</v>
      </c>
      <c r="T25" s="50">
        <f t="shared" si="0"/>
        <v>7.1936406290918162</v>
      </c>
      <c r="U25" s="21"/>
      <c r="V25" s="2"/>
      <c r="W25" s="2"/>
    </row>
    <row r="26" spans="1:23">
      <c r="A26" s="16" t="s">
        <v>34</v>
      </c>
      <c r="B26" s="62">
        <f t="shared" ref="B26:R26" si="6">+B25+B24</f>
        <v>28204</v>
      </c>
      <c r="C26" s="62">
        <f t="shared" si="6"/>
        <v>69879</v>
      </c>
      <c r="D26" s="62">
        <f t="shared" si="6"/>
        <v>14419</v>
      </c>
      <c r="E26" s="62">
        <f t="shared" si="6"/>
        <v>5119</v>
      </c>
      <c r="F26" s="62">
        <f t="shared" si="6"/>
        <v>547704</v>
      </c>
      <c r="G26" s="62">
        <f t="shared" si="6"/>
        <v>202571</v>
      </c>
      <c r="H26" s="62">
        <f t="shared" si="6"/>
        <v>5508</v>
      </c>
      <c r="I26" s="62">
        <f t="shared" si="6"/>
        <v>10800</v>
      </c>
      <c r="J26" s="62">
        <f t="shared" si="6"/>
        <v>186847</v>
      </c>
      <c r="K26" s="62">
        <f t="shared" si="6"/>
        <v>4555</v>
      </c>
      <c r="L26" s="62">
        <f>+L25+L24</f>
        <v>42771</v>
      </c>
      <c r="M26" s="62">
        <f t="shared" si="6"/>
        <v>37723</v>
      </c>
      <c r="N26" s="62">
        <f t="shared" si="6"/>
        <v>86337</v>
      </c>
      <c r="O26" s="62">
        <f t="shared" si="6"/>
        <v>148126</v>
      </c>
      <c r="P26" s="62">
        <f t="shared" si="6"/>
        <v>17450</v>
      </c>
      <c r="Q26" s="62">
        <f t="shared" si="6"/>
        <v>4003</v>
      </c>
      <c r="R26" s="62">
        <f t="shared" si="6"/>
        <v>21030</v>
      </c>
      <c r="S26" s="62">
        <f t="shared" si="3"/>
        <v>1433046</v>
      </c>
      <c r="T26" s="51">
        <f t="shared" si="0"/>
        <v>10.096330556074367</v>
      </c>
      <c r="U26" s="6"/>
    </row>
    <row r="27" spans="1:23">
      <c r="A27" s="14" t="s">
        <v>36</v>
      </c>
      <c r="B27" s="57">
        <f>1095+839+577+99+1</f>
        <v>2611</v>
      </c>
      <c r="C27" s="57">
        <v>3093</v>
      </c>
      <c r="D27" s="57">
        <v>1618</v>
      </c>
      <c r="E27" s="57">
        <v>1749</v>
      </c>
      <c r="F27" s="57">
        <v>0</v>
      </c>
      <c r="G27" s="57">
        <v>18710</v>
      </c>
      <c r="H27" s="57">
        <v>686</v>
      </c>
      <c r="I27" s="57">
        <v>1333</v>
      </c>
      <c r="J27" s="57">
        <v>8860</v>
      </c>
      <c r="K27" s="57">
        <v>348</v>
      </c>
      <c r="L27" s="57">
        <v>1263</v>
      </c>
      <c r="M27" s="58">
        <v>1832</v>
      </c>
      <c r="N27" s="57">
        <v>52570</v>
      </c>
      <c r="O27" s="57">
        <v>8017</v>
      </c>
      <c r="P27" s="57">
        <v>3075</v>
      </c>
      <c r="Q27" s="57">
        <v>0</v>
      </c>
      <c r="R27" s="57">
        <v>3702</v>
      </c>
      <c r="S27" s="60">
        <f t="shared" si="3"/>
        <v>109467</v>
      </c>
      <c r="T27" s="50">
        <f t="shared" si="0"/>
        <v>0.77123485008980375</v>
      </c>
      <c r="U27" s="6"/>
    </row>
    <row r="28" spans="1:23">
      <c r="A28" s="14" t="s">
        <v>90</v>
      </c>
      <c r="B28" s="57">
        <f>9+7</f>
        <v>16</v>
      </c>
      <c r="C28" s="57">
        <v>166</v>
      </c>
      <c r="D28" s="57">
        <v>0</v>
      </c>
      <c r="E28" s="57">
        <v>0</v>
      </c>
      <c r="F28" s="57">
        <v>945</v>
      </c>
      <c r="G28" s="57">
        <v>762</v>
      </c>
      <c r="H28" s="57">
        <v>0</v>
      </c>
      <c r="I28" s="57">
        <v>0</v>
      </c>
      <c r="J28" s="57">
        <v>610</v>
      </c>
      <c r="K28" s="57">
        <v>51</v>
      </c>
      <c r="L28" s="57">
        <v>38</v>
      </c>
      <c r="M28" s="58">
        <v>0</v>
      </c>
      <c r="N28" s="57">
        <v>750</v>
      </c>
      <c r="O28" s="57">
        <v>1759</v>
      </c>
      <c r="P28" s="57">
        <v>0</v>
      </c>
      <c r="Q28" s="57">
        <v>0</v>
      </c>
      <c r="R28" s="57">
        <v>128</v>
      </c>
      <c r="S28" s="60">
        <f t="shared" si="3"/>
        <v>5225</v>
      </c>
      <c r="T28" s="50">
        <f t="shared" si="0"/>
        <v>3.6812026379815142E-2</v>
      </c>
      <c r="U28" s="6"/>
    </row>
    <row r="29" spans="1:23">
      <c r="A29" s="14" t="s">
        <v>37</v>
      </c>
      <c r="B29" s="57">
        <f>364+7</f>
        <v>371</v>
      </c>
      <c r="C29" s="57">
        <v>1468</v>
      </c>
      <c r="D29" s="57">
        <v>0</v>
      </c>
      <c r="E29" s="57">
        <v>308</v>
      </c>
      <c r="F29" s="57">
        <v>6101</v>
      </c>
      <c r="G29" s="57">
        <v>2766</v>
      </c>
      <c r="H29" s="57">
        <v>60</v>
      </c>
      <c r="I29" s="57">
        <v>484</v>
      </c>
      <c r="J29" s="57">
        <v>3975</v>
      </c>
      <c r="K29" s="57">
        <v>148</v>
      </c>
      <c r="L29" s="57">
        <v>955</v>
      </c>
      <c r="M29" s="58">
        <v>560</v>
      </c>
      <c r="N29" s="57">
        <v>12405</v>
      </c>
      <c r="O29" s="57">
        <v>7247</v>
      </c>
      <c r="P29" s="57">
        <v>1585</v>
      </c>
      <c r="Q29" s="57">
        <v>0</v>
      </c>
      <c r="R29" s="57">
        <v>734</v>
      </c>
      <c r="S29" s="60">
        <f t="shared" si="3"/>
        <v>39167</v>
      </c>
      <c r="T29" s="50">
        <f t="shared" si="0"/>
        <v>0.27594576788865449</v>
      </c>
      <c r="U29" s="6"/>
    </row>
    <row r="30" spans="1:23">
      <c r="A30" s="14" t="s">
        <v>38</v>
      </c>
      <c r="B30" s="57">
        <f>4167+6572</f>
        <v>10739</v>
      </c>
      <c r="C30" s="57">
        <v>8693</v>
      </c>
      <c r="D30" s="57">
        <v>4737</v>
      </c>
      <c r="E30" s="57">
        <v>1770</v>
      </c>
      <c r="F30" s="57">
        <v>0</v>
      </c>
      <c r="G30" s="57">
        <v>67387</v>
      </c>
      <c r="H30" s="57">
        <v>2</v>
      </c>
      <c r="I30" s="57">
        <v>2209</v>
      </c>
      <c r="J30" s="57">
        <v>10868</v>
      </c>
      <c r="K30" s="57">
        <v>660</v>
      </c>
      <c r="L30" s="57">
        <v>9744</v>
      </c>
      <c r="M30" s="58">
        <v>2474</v>
      </c>
      <c r="N30" s="57">
        <v>39602</v>
      </c>
      <c r="O30" s="57">
        <v>21362</v>
      </c>
      <c r="P30" s="57">
        <v>5264</v>
      </c>
      <c r="Q30" s="57">
        <v>3630</v>
      </c>
      <c r="R30" s="57">
        <v>6227</v>
      </c>
      <c r="S30" s="60">
        <f t="shared" si="3"/>
        <v>195368</v>
      </c>
      <c r="T30" s="50">
        <f t="shared" si="0"/>
        <v>1.3764386545017655</v>
      </c>
      <c r="U30" s="6"/>
    </row>
    <row r="31" spans="1:23">
      <c r="A31" s="14" t="s">
        <v>39</v>
      </c>
      <c r="B31" s="57">
        <f>3750+1185</f>
        <v>4935</v>
      </c>
      <c r="C31" s="57">
        <v>2404</v>
      </c>
      <c r="D31" s="57">
        <v>992</v>
      </c>
      <c r="E31" s="57">
        <v>1075</v>
      </c>
      <c r="F31" s="57">
        <v>4879</v>
      </c>
      <c r="G31" s="57">
        <v>50803</v>
      </c>
      <c r="H31" s="57">
        <v>292</v>
      </c>
      <c r="I31" s="57">
        <v>768</v>
      </c>
      <c r="J31" s="57">
        <v>6017</v>
      </c>
      <c r="K31" s="57">
        <v>146</v>
      </c>
      <c r="L31" s="57">
        <v>6744</v>
      </c>
      <c r="M31" s="58">
        <v>2577</v>
      </c>
      <c r="N31" s="57">
        <v>21156</v>
      </c>
      <c r="O31" s="57">
        <v>12114</v>
      </c>
      <c r="P31" s="57">
        <v>4337</v>
      </c>
      <c r="Q31" s="57">
        <v>4996</v>
      </c>
      <c r="R31" s="57">
        <v>4549</v>
      </c>
      <c r="S31" s="60">
        <f t="shared" si="3"/>
        <v>128784</v>
      </c>
      <c r="T31" s="50">
        <f t="shared" si="0"/>
        <v>0.90733014455466299</v>
      </c>
      <c r="U31" s="6"/>
    </row>
    <row r="32" spans="1:23">
      <c r="A32" s="14" t="s">
        <v>91</v>
      </c>
      <c r="B32" s="57">
        <f>1461+43+4401+10+389</f>
        <v>6304</v>
      </c>
      <c r="C32" s="57">
        <v>19290</v>
      </c>
      <c r="D32" s="57">
        <v>10129</v>
      </c>
      <c r="E32" s="57">
        <v>7272</v>
      </c>
      <c r="F32" s="57">
        <v>59606</v>
      </c>
      <c r="G32" s="57">
        <v>50366</v>
      </c>
      <c r="H32" s="57">
        <v>7894</v>
      </c>
      <c r="I32" s="57">
        <v>9701</v>
      </c>
      <c r="J32" s="57">
        <v>54622</v>
      </c>
      <c r="K32" s="57">
        <v>1136</v>
      </c>
      <c r="L32" s="57">
        <v>15531</v>
      </c>
      <c r="M32" s="58">
        <v>15073</v>
      </c>
      <c r="N32" s="57">
        <v>102637</v>
      </c>
      <c r="O32" s="57">
        <v>62327</v>
      </c>
      <c r="P32" s="57">
        <v>10779</v>
      </c>
      <c r="Q32" s="57">
        <v>14216</v>
      </c>
      <c r="R32" s="57">
        <v>4720</v>
      </c>
      <c r="S32" s="60">
        <f t="shared" si="3"/>
        <v>451603</v>
      </c>
      <c r="T32" s="50">
        <f t="shared" si="0"/>
        <v>3.1817074735318007</v>
      </c>
      <c r="U32" s="6"/>
    </row>
    <row r="33" spans="1:23">
      <c r="A33" s="14" t="s">
        <v>41</v>
      </c>
      <c r="B33" s="57">
        <v>742</v>
      </c>
      <c r="C33" s="57">
        <v>558</v>
      </c>
      <c r="D33" s="57">
        <v>361</v>
      </c>
      <c r="E33" s="57">
        <v>1235</v>
      </c>
      <c r="F33" s="57">
        <v>720</v>
      </c>
      <c r="G33" s="57">
        <v>7285</v>
      </c>
      <c r="H33" s="57">
        <v>48</v>
      </c>
      <c r="I33" s="57">
        <v>195</v>
      </c>
      <c r="J33" s="57">
        <v>3389</v>
      </c>
      <c r="K33" s="57">
        <v>125</v>
      </c>
      <c r="L33" s="57">
        <v>653</v>
      </c>
      <c r="M33" s="58">
        <v>0</v>
      </c>
      <c r="N33" s="57">
        <v>3141</v>
      </c>
      <c r="O33" s="57">
        <v>3099</v>
      </c>
      <c r="P33" s="57">
        <v>4884</v>
      </c>
      <c r="Q33" s="57">
        <v>1735</v>
      </c>
      <c r="R33" s="57">
        <v>4681</v>
      </c>
      <c r="S33" s="60">
        <f t="shared" si="3"/>
        <v>32851</v>
      </c>
      <c r="T33" s="50">
        <f t="shared" si="0"/>
        <v>0.23144724949345596</v>
      </c>
      <c r="U33" s="6"/>
    </row>
    <row r="34" spans="1:23">
      <c r="A34" s="14" t="s">
        <v>42</v>
      </c>
      <c r="B34" s="57">
        <f>3788+575+3939+174</f>
        <v>8476</v>
      </c>
      <c r="C34" s="57">
        <v>7038</v>
      </c>
      <c r="D34" s="57">
        <v>9382</v>
      </c>
      <c r="E34" s="57">
        <v>1381</v>
      </c>
      <c r="F34" s="57">
        <v>27241</v>
      </c>
      <c r="G34" s="57">
        <v>37530</v>
      </c>
      <c r="H34" s="57">
        <v>5905</v>
      </c>
      <c r="I34" s="57">
        <v>1286</v>
      </c>
      <c r="J34" s="57">
        <v>32941</v>
      </c>
      <c r="K34" s="57">
        <v>582</v>
      </c>
      <c r="L34" s="57">
        <v>10525</v>
      </c>
      <c r="M34" s="58">
        <v>409</v>
      </c>
      <c r="N34" s="57">
        <v>35519</v>
      </c>
      <c r="O34" s="57">
        <v>7528</v>
      </c>
      <c r="P34" s="57">
        <v>2515</v>
      </c>
      <c r="Q34" s="57">
        <v>2435</v>
      </c>
      <c r="R34" s="57">
        <v>7673</v>
      </c>
      <c r="S34" s="60">
        <f t="shared" si="3"/>
        <v>198366</v>
      </c>
      <c r="T34" s="50">
        <f t="shared" si="0"/>
        <v>1.397560655475294</v>
      </c>
      <c r="U34" s="6"/>
    </row>
    <row r="35" spans="1:23">
      <c r="A35" s="14" t="s">
        <v>43</v>
      </c>
      <c r="B35" s="57">
        <f>543+2597+1339+1572+1910</f>
        <v>7961</v>
      </c>
      <c r="C35" s="57">
        <v>17933</v>
      </c>
      <c r="D35" s="57">
        <v>16157</v>
      </c>
      <c r="E35" s="57">
        <v>15038</v>
      </c>
      <c r="F35" s="57">
        <v>97286</v>
      </c>
      <c r="G35" s="57">
        <v>83930</v>
      </c>
      <c r="H35" s="57">
        <v>11756</v>
      </c>
      <c r="I35" s="57">
        <v>12037</v>
      </c>
      <c r="J35" s="57">
        <v>87969</v>
      </c>
      <c r="K35" s="57">
        <v>985</v>
      </c>
      <c r="L35" s="57">
        <v>23446</v>
      </c>
      <c r="M35" s="58">
        <v>10042</v>
      </c>
      <c r="N35" s="57">
        <v>101922</v>
      </c>
      <c r="O35" s="57">
        <v>71267</v>
      </c>
      <c r="P35" s="57">
        <v>21795</v>
      </c>
      <c r="Q35" s="57">
        <v>14709</v>
      </c>
      <c r="R35" s="57">
        <v>9508</v>
      </c>
      <c r="S35" s="60">
        <f t="shared" si="3"/>
        <v>603741</v>
      </c>
      <c r="T35" s="50">
        <f t="shared" si="0"/>
        <v>4.2535750466174118</v>
      </c>
      <c r="U35" s="9"/>
    </row>
    <row r="36" spans="1:23">
      <c r="A36" s="16" t="s">
        <v>44</v>
      </c>
      <c r="B36" s="62">
        <f t="shared" ref="B36:R36" si="7">SUM(B27:B35)</f>
        <v>42155</v>
      </c>
      <c r="C36" s="62">
        <f t="shared" si="7"/>
        <v>60643</v>
      </c>
      <c r="D36" s="62">
        <f t="shared" si="7"/>
        <v>43376</v>
      </c>
      <c r="E36" s="62">
        <f t="shared" si="7"/>
        <v>29828</v>
      </c>
      <c r="F36" s="62">
        <f t="shared" si="7"/>
        <v>196778</v>
      </c>
      <c r="G36" s="62">
        <f t="shared" si="7"/>
        <v>319539</v>
      </c>
      <c r="H36" s="62">
        <f t="shared" si="7"/>
        <v>26643</v>
      </c>
      <c r="I36" s="62">
        <f t="shared" si="7"/>
        <v>28013</v>
      </c>
      <c r="J36" s="62">
        <f t="shared" si="7"/>
        <v>209251</v>
      </c>
      <c r="K36" s="62">
        <f t="shared" si="7"/>
        <v>4181</v>
      </c>
      <c r="L36" s="62">
        <f t="shared" si="7"/>
        <v>68899</v>
      </c>
      <c r="M36" s="62">
        <f t="shared" si="7"/>
        <v>32967</v>
      </c>
      <c r="N36" s="62">
        <f t="shared" si="7"/>
        <v>369702</v>
      </c>
      <c r="O36" s="62">
        <f t="shared" si="7"/>
        <v>194720</v>
      </c>
      <c r="P36" s="62">
        <f t="shared" si="7"/>
        <v>54234</v>
      </c>
      <c r="Q36" s="62">
        <f t="shared" si="7"/>
        <v>41721</v>
      </c>
      <c r="R36" s="62">
        <f t="shared" si="7"/>
        <v>41922</v>
      </c>
      <c r="S36" s="62">
        <f t="shared" si="3"/>
        <v>1764572</v>
      </c>
      <c r="T36" s="51">
        <f t="shared" si="0"/>
        <v>12.432051868532664</v>
      </c>
      <c r="U36" s="6"/>
    </row>
    <row r="37" spans="1:23">
      <c r="A37" s="14" t="s">
        <v>45</v>
      </c>
      <c r="B37" s="57">
        <v>2164</v>
      </c>
      <c r="C37" s="57">
        <v>3011</v>
      </c>
      <c r="D37" s="57">
        <v>380</v>
      </c>
      <c r="E37" s="57">
        <v>74</v>
      </c>
      <c r="F37" s="57">
        <v>8332</v>
      </c>
      <c r="G37" s="57">
        <v>5436</v>
      </c>
      <c r="H37" s="57">
        <v>507</v>
      </c>
      <c r="I37" s="57">
        <v>87</v>
      </c>
      <c r="J37" s="57">
        <v>43111</v>
      </c>
      <c r="K37" s="57">
        <v>559</v>
      </c>
      <c r="L37" s="57">
        <v>1372</v>
      </c>
      <c r="M37" s="58">
        <v>1102</v>
      </c>
      <c r="N37" s="66">
        <v>4161</v>
      </c>
      <c r="O37" s="57">
        <v>4723</v>
      </c>
      <c r="P37" s="57">
        <v>980</v>
      </c>
      <c r="Q37" s="57">
        <v>0</v>
      </c>
      <c r="R37" s="57">
        <v>3617</v>
      </c>
      <c r="S37" s="60">
        <f t="shared" si="3"/>
        <v>79616</v>
      </c>
      <c r="T37" s="50">
        <f t="shared" si="0"/>
        <v>0.56092369229767702</v>
      </c>
      <c r="U37" s="6"/>
    </row>
    <row r="38" spans="1:23">
      <c r="A38" s="14" t="s">
        <v>46</v>
      </c>
      <c r="B38" s="57">
        <v>39</v>
      </c>
      <c r="C38" s="57">
        <v>100</v>
      </c>
      <c r="D38" s="57">
        <v>5</v>
      </c>
      <c r="E38" s="57">
        <v>3</v>
      </c>
      <c r="F38" s="57">
        <v>270</v>
      </c>
      <c r="G38" s="57">
        <v>978</v>
      </c>
      <c r="H38" s="57">
        <v>0</v>
      </c>
      <c r="I38" s="57">
        <v>0</v>
      </c>
      <c r="J38" s="57">
        <v>399</v>
      </c>
      <c r="K38" s="57">
        <v>76</v>
      </c>
      <c r="L38" s="57">
        <v>50</v>
      </c>
      <c r="M38" s="58">
        <v>23</v>
      </c>
      <c r="N38" s="57">
        <v>0</v>
      </c>
      <c r="O38" s="57">
        <v>63</v>
      </c>
      <c r="P38" s="57">
        <v>0</v>
      </c>
      <c r="Q38" s="57">
        <v>0</v>
      </c>
      <c r="R38" s="57">
        <v>0</v>
      </c>
      <c r="S38" s="60">
        <f t="shared" si="3"/>
        <v>2006</v>
      </c>
      <c r="T38" s="50">
        <f t="shared" si="0"/>
        <v>1.4132999984288838E-2</v>
      </c>
      <c r="U38" s="6"/>
      <c r="V38" s="3"/>
      <c r="W38" s="3"/>
    </row>
    <row r="39" spans="1:23">
      <c r="A39" s="14" t="s">
        <v>47</v>
      </c>
      <c r="B39" s="57">
        <f>14390+259</f>
        <v>14649</v>
      </c>
      <c r="C39" s="57">
        <v>16426</v>
      </c>
      <c r="D39" s="57">
        <v>2586</v>
      </c>
      <c r="E39" s="57">
        <v>205</v>
      </c>
      <c r="F39" s="57">
        <v>78226</v>
      </c>
      <c r="G39" s="57">
        <v>81460</v>
      </c>
      <c r="H39" s="57">
        <v>7092</v>
      </c>
      <c r="I39" s="57">
        <v>657</v>
      </c>
      <c r="J39" s="57">
        <v>323431</v>
      </c>
      <c r="K39" s="57">
        <v>1616</v>
      </c>
      <c r="L39" s="57">
        <v>7935</v>
      </c>
      <c r="M39" s="58">
        <v>13905</v>
      </c>
      <c r="N39" s="59">
        <v>35652</v>
      </c>
      <c r="O39" s="57">
        <v>58607</v>
      </c>
      <c r="P39" s="57">
        <v>8216</v>
      </c>
      <c r="Q39" s="57">
        <v>0</v>
      </c>
      <c r="R39" s="57">
        <v>9170</v>
      </c>
      <c r="S39" s="60">
        <f t="shared" si="3"/>
        <v>659833</v>
      </c>
      <c r="T39" s="50">
        <f t="shared" si="0"/>
        <v>4.6487635985210654</v>
      </c>
      <c r="U39" s="6"/>
    </row>
    <row r="40" spans="1:23">
      <c r="A40" s="14" t="s">
        <v>88</v>
      </c>
      <c r="B40" s="57">
        <f>2469+2206</f>
        <v>4675</v>
      </c>
      <c r="C40" s="57">
        <v>4930</v>
      </c>
      <c r="D40" s="57">
        <v>105</v>
      </c>
      <c r="E40" s="57">
        <v>65</v>
      </c>
      <c r="F40" s="57">
        <v>13191</v>
      </c>
      <c r="G40" s="57">
        <v>17121</v>
      </c>
      <c r="H40" s="57">
        <v>1159</v>
      </c>
      <c r="I40" s="57">
        <v>92</v>
      </c>
      <c r="J40" s="57">
        <v>84570</v>
      </c>
      <c r="K40" s="57">
        <v>673</v>
      </c>
      <c r="L40" s="57">
        <v>1151</v>
      </c>
      <c r="M40" s="58">
        <v>1449</v>
      </c>
      <c r="N40" s="57">
        <v>6114</v>
      </c>
      <c r="O40" s="57">
        <v>17240</v>
      </c>
      <c r="P40" s="57">
        <v>1075</v>
      </c>
      <c r="Q40" s="57">
        <v>0</v>
      </c>
      <c r="R40" s="57">
        <v>4843</v>
      </c>
      <c r="S40" s="60">
        <f t="shared" si="3"/>
        <v>158453</v>
      </c>
      <c r="T40" s="50">
        <f t="shared" si="0"/>
        <v>1.1163590461169091</v>
      </c>
      <c r="U40" s="6"/>
    </row>
    <row r="41" spans="1:23">
      <c r="A41" s="14" t="s">
        <v>48</v>
      </c>
      <c r="B41" s="57">
        <v>0</v>
      </c>
      <c r="C41" s="57">
        <v>0</v>
      </c>
      <c r="D41" s="57">
        <v>0</v>
      </c>
      <c r="E41" s="57">
        <v>0</v>
      </c>
      <c r="F41" s="57">
        <v>1</v>
      </c>
      <c r="G41" s="57">
        <v>0</v>
      </c>
      <c r="H41" s="57">
        <v>0</v>
      </c>
      <c r="I41" s="57">
        <v>0</v>
      </c>
      <c r="J41" s="57">
        <v>48563</v>
      </c>
      <c r="K41" s="57">
        <v>0</v>
      </c>
      <c r="L41" s="57">
        <v>0</v>
      </c>
      <c r="M41" s="69">
        <v>0</v>
      </c>
      <c r="N41" s="57">
        <v>0</v>
      </c>
      <c r="O41" s="57">
        <v>0</v>
      </c>
      <c r="P41" s="68">
        <v>0</v>
      </c>
      <c r="Q41" s="57">
        <v>0</v>
      </c>
      <c r="R41" s="57">
        <v>0</v>
      </c>
      <c r="S41" s="60">
        <f t="shared" si="3"/>
        <v>48564</v>
      </c>
      <c r="T41" s="50">
        <f t="shared" si="0"/>
        <v>0.34215105246111821</v>
      </c>
      <c r="U41" s="6"/>
    </row>
    <row r="42" spans="1:23">
      <c r="A42" s="14" t="s">
        <v>49</v>
      </c>
      <c r="B42" s="57">
        <v>125</v>
      </c>
      <c r="C42" s="57">
        <v>222</v>
      </c>
      <c r="D42" s="57">
        <v>13</v>
      </c>
      <c r="E42" s="57">
        <v>3</v>
      </c>
      <c r="F42" s="57">
        <v>606</v>
      </c>
      <c r="G42" s="57">
        <v>1536</v>
      </c>
      <c r="H42" s="57">
        <v>8</v>
      </c>
      <c r="I42" s="57">
        <v>0</v>
      </c>
      <c r="J42" s="57">
        <v>2763</v>
      </c>
      <c r="K42" s="57">
        <v>90</v>
      </c>
      <c r="L42" s="57">
        <v>64</v>
      </c>
      <c r="M42" s="58">
        <v>36</v>
      </c>
      <c r="N42" s="57">
        <v>1297</v>
      </c>
      <c r="O42" s="57">
        <v>320</v>
      </c>
      <c r="P42" s="57">
        <v>0</v>
      </c>
      <c r="Q42" s="57">
        <v>0</v>
      </c>
      <c r="R42" s="57">
        <v>600</v>
      </c>
      <c r="S42" s="60">
        <f t="shared" si="3"/>
        <v>7683</v>
      </c>
      <c r="T42" s="50">
        <f t="shared" si="0"/>
        <v>5.4129530847104257E-2</v>
      </c>
      <c r="U42" s="6"/>
    </row>
    <row r="43" spans="1:23">
      <c r="A43" s="14" t="s">
        <v>72</v>
      </c>
      <c r="B43" s="57">
        <v>0</v>
      </c>
      <c r="C43" s="57">
        <v>0</v>
      </c>
      <c r="D43" s="57">
        <v>0</v>
      </c>
      <c r="E43" s="57">
        <v>0</v>
      </c>
      <c r="F43" s="57" t="s">
        <v>111</v>
      </c>
      <c r="G43" s="57">
        <v>0</v>
      </c>
      <c r="H43" s="57">
        <v>0</v>
      </c>
      <c r="I43" s="57">
        <v>0</v>
      </c>
      <c r="J43" s="57"/>
      <c r="K43" s="57">
        <v>3</v>
      </c>
      <c r="L43" s="57">
        <v>0</v>
      </c>
      <c r="M43" s="58">
        <v>0</v>
      </c>
      <c r="N43" s="57">
        <v>5631</v>
      </c>
      <c r="O43" s="57">
        <v>6</v>
      </c>
      <c r="P43" s="57">
        <v>0</v>
      </c>
      <c r="Q43" s="57">
        <v>0</v>
      </c>
      <c r="R43" s="57">
        <v>0</v>
      </c>
      <c r="S43" s="60">
        <f t="shared" si="3"/>
        <v>5640</v>
      </c>
      <c r="T43" s="50">
        <f t="shared" si="0"/>
        <v>3.9735852398499028E-2</v>
      </c>
      <c r="U43" s="9"/>
    </row>
    <row r="44" spans="1:23">
      <c r="A44" s="16" t="s">
        <v>51</v>
      </c>
      <c r="B44" s="62">
        <f t="shared" ref="B44:R44" si="8">SUM(B37:B43)</f>
        <v>21652</v>
      </c>
      <c r="C44" s="62">
        <f t="shared" si="8"/>
        <v>24689</v>
      </c>
      <c r="D44" s="62">
        <f t="shared" si="8"/>
        <v>3089</v>
      </c>
      <c r="E44" s="62">
        <f t="shared" si="8"/>
        <v>350</v>
      </c>
      <c r="F44" s="62">
        <f t="shared" si="8"/>
        <v>100626</v>
      </c>
      <c r="G44" s="62">
        <f t="shared" si="8"/>
        <v>106531</v>
      </c>
      <c r="H44" s="62">
        <f t="shared" si="8"/>
        <v>8766</v>
      </c>
      <c r="I44" s="62">
        <f t="shared" si="8"/>
        <v>836</v>
      </c>
      <c r="J44" s="62">
        <f t="shared" si="8"/>
        <v>502837</v>
      </c>
      <c r="K44" s="62">
        <f t="shared" si="8"/>
        <v>3017</v>
      </c>
      <c r="L44" s="62">
        <f t="shared" si="8"/>
        <v>10572</v>
      </c>
      <c r="M44" s="62">
        <f t="shared" si="8"/>
        <v>16515</v>
      </c>
      <c r="N44" s="62">
        <f t="shared" si="8"/>
        <v>52855</v>
      </c>
      <c r="O44" s="62">
        <f t="shared" si="8"/>
        <v>80959</v>
      </c>
      <c r="P44" s="62">
        <f t="shared" si="8"/>
        <v>10271</v>
      </c>
      <c r="Q44" s="62" t="s">
        <v>107</v>
      </c>
      <c r="R44" s="62">
        <f t="shared" si="8"/>
        <v>18230</v>
      </c>
      <c r="S44" s="62">
        <f>SUM(R37:S42)</f>
        <v>974385</v>
      </c>
      <c r="T44" s="51">
        <f t="shared" ref="T44:T67" si="9">S44/S$67*100</f>
        <v>6.8648969041332402</v>
      </c>
      <c r="U44" s="6"/>
    </row>
    <row r="45" spans="1:23">
      <c r="A45" s="14" t="s">
        <v>52</v>
      </c>
      <c r="B45" s="57">
        <f>116+14379+976+100+813</f>
        <v>16384</v>
      </c>
      <c r="C45" s="57">
        <v>35526</v>
      </c>
      <c r="D45" s="57">
        <v>11490</v>
      </c>
      <c r="E45" s="57">
        <f>5978</f>
        <v>5978</v>
      </c>
      <c r="F45" s="57">
        <v>65808</v>
      </c>
      <c r="G45" s="57">
        <v>313163</v>
      </c>
      <c r="H45" s="57">
        <v>3785</v>
      </c>
      <c r="I45" s="57">
        <v>4143</v>
      </c>
      <c r="J45" s="57">
        <v>61419</v>
      </c>
      <c r="K45" s="57">
        <f>4779+75</f>
        <v>4854</v>
      </c>
      <c r="L45" s="57">
        <v>15559</v>
      </c>
      <c r="M45" s="58">
        <v>16464</v>
      </c>
      <c r="N45" s="57">
        <v>172238</v>
      </c>
      <c r="O45" s="57">
        <v>52334</v>
      </c>
      <c r="P45" s="57">
        <v>19133</v>
      </c>
      <c r="Q45" s="57">
        <v>6234</v>
      </c>
      <c r="R45" s="57">
        <v>25661</v>
      </c>
      <c r="S45" s="60">
        <f t="shared" ref="S45:S46" si="10">SUM(B45:R45)</f>
        <v>830173</v>
      </c>
      <c r="T45" s="50">
        <f t="shared" si="9"/>
        <v>5.8488708853225413</v>
      </c>
      <c r="U45" s="6"/>
    </row>
    <row r="46" spans="1:23">
      <c r="A46" s="14" t="s">
        <v>53</v>
      </c>
      <c r="B46" s="57">
        <v>1470</v>
      </c>
      <c r="C46" s="57">
        <v>1741</v>
      </c>
      <c r="D46" s="57">
        <v>11</v>
      </c>
      <c r="E46" s="57">
        <v>8</v>
      </c>
      <c r="F46" s="57">
        <v>7446</v>
      </c>
      <c r="G46" s="57">
        <v>41094</v>
      </c>
      <c r="H46" s="57">
        <v>736</v>
      </c>
      <c r="I46" s="57">
        <v>1</v>
      </c>
      <c r="J46" s="57">
        <v>24623</v>
      </c>
      <c r="K46" s="57">
        <v>189</v>
      </c>
      <c r="L46" s="57">
        <v>1649</v>
      </c>
      <c r="M46" s="58">
        <v>3205</v>
      </c>
      <c r="N46" s="57">
        <v>7631</v>
      </c>
      <c r="O46" s="57">
        <v>6288</v>
      </c>
      <c r="P46" s="57">
        <v>9</v>
      </c>
      <c r="Q46" s="57">
        <v>0</v>
      </c>
      <c r="R46" s="57">
        <v>2025</v>
      </c>
      <c r="S46" s="60">
        <f t="shared" si="10"/>
        <v>98126</v>
      </c>
      <c r="T46" s="50">
        <f t="shared" si="9"/>
        <v>0.6913333780948786</v>
      </c>
      <c r="U46" s="9"/>
    </row>
    <row r="47" spans="1:23">
      <c r="A47" s="16" t="s">
        <v>54</v>
      </c>
      <c r="B47" s="62">
        <f t="shared" ref="B47:J47" si="11">+B46+B45</f>
        <v>17854</v>
      </c>
      <c r="C47" s="62">
        <f t="shared" si="11"/>
        <v>37267</v>
      </c>
      <c r="D47" s="62">
        <f t="shared" si="11"/>
        <v>11501</v>
      </c>
      <c r="E47" s="62">
        <f t="shared" si="11"/>
        <v>5986</v>
      </c>
      <c r="F47" s="62">
        <f t="shared" si="11"/>
        <v>73254</v>
      </c>
      <c r="G47" s="62">
        <f t="shared" si="11"/>
        <v>354257</v>
      </c>
      <c r="H47" s="62">
        <f t="shared" si="11"/>
        <v>4521</v>
      </c>
      <c r="I47" s="62">
        <f t="shared" si="11"/>
        <v>4144</v>
      </c>
      <c r="J47" s="62">
        <f t="shared" si="11"/>
        <v>86042</v>
      </c>
      <c r="K47" s="62">
        <f>SUM(K45:K46)</f>
        <v>5043</v>
      </c>
      <c r="L47" s="62">
        <f>SUM(L45:L46)</f>
        <v>17208</v>
      </c>
      <c r="M47" s="62">
        <f t="shared" ref="M47:R47" si="12">+M46+M45</f>
        <v>19669</v>
      </c>
      <c r="N47" s="62">
        <f t="shared" si="12"/>
        <v>179869</v>
      </c>
      <c r="O47" s="62">
        <f t="shared" si="12"/>
        <v>58622</v>
      </c>
      <c r="P47" s="62">
        <f t="shared" si="12"/>
        <v>19142</v>
      </c>
      <c r="Q47" s="62">
        <f t="shared" si="12"/>
        <v>6234</v>
      </c>
      <c r="R47" s="62">
        <f t="shared" si="12"/>
        <v>27686</v>
      </c>
      <c r="S47" s="62">
        <f t="shared" ref="S47:S66" si="13">SUM(B47:R47)</f>
        <v>928299</v>
      </c>
      <c r="T47" s="51">
        <f t="shared" si="9"/>
        <v>6.5402042634174204</v>
      </c>
      <c r="U47" s="6"/>
    </row>
    <row r="48" spans="1:23">
      <c r="A48" s="14" t="s">
        <v>55</v>
      </c>
      <c r="B48" s="57">
        <v>18554</v>
      </c>
      <c r="C48" s="57">
        <v>40057</v>
      </c>
      <c r="D48" s="57">
        <v>7555</v>
      </c>
      <c r="E48" s="57">
        <f>4464+80</f>
        <v>4544</v>
      </c>
      <c r="F48" s="57">
        <v>57537</v>
      </c>
      <c r="G48" s="57">
        <v>265051</v>
      </c>
      <c r="H48" s="57">
        <v>2864</v>
      </c>
      <c r="I48" s="57">
        <v>4284</v>
      </c>
      <c r="J48" s="57">
        <v>57156</v>
      </c>
      <c r="K48" s="57">
        <v>4955</v>
      </c>
      <c r="L48" s="57">
        <v>20665</v>
      </c>
      <c r="M48" s="58">
        <v>13813</v>
      </c>
      <c r="N48" s="57">
        <v>172048</v>
      </c>
      <c r="O48" s="57">
        <v>49418</v>
      </c>
      <c r="P48" s="57">
        <v>19979</v>
      </c>
      <c r="Q48" s="57">
        <v>12331</v>
      </c>
      <c r="R48" s="65">
        <f>24227+62</f>
        <v>24289</v>
      </c>
      <c r="S48" s="60">
        <f t="shared" si="13"/>
        <v>775100</v>
      </c>
      <c r="T48" s="50">
        <f t="shared" si="9"/>
        <v>5.4608615592334386</v>
      </c>
      <c r="U48" s="6"/>
    </row>
    <row r="49" spans="1:21">
      <c r="A49" s="14" t="s">
        <v>56</v>
      </c>
      <c r="B49" s="57">
        <v>2739</v>
      </c>
      <c r="C49" s="57">
        <v>8201</v>
      </c>
      <c r="D49" s="57">
        <v>948</v>
      </c>
      <c r="E49" s="57">
        <v>329</v>
      </c>
      <c r="F49" s="57">
        <v>27378</v>
      </c>
      <c r="G49" s="57">
        <v>50494</v>
      </c>
      <c r="H49" s="57">
        <v>1614</v>
      </c>
      <c r="I49" s="57">
        <v>555</v>
      </c>
      <c r="J49" s="57">
        <v>20542</v>
      </c>
      <c r="K49" s="57">
        <v>971</v>
      </c>
      <c r="L49" s="57">
        <v>6808</v>
      </c>
      <c r="M49" s="58">
        <v>3003</v>
      </c>
      <c r="N49" s="57">
        <v>67021</v>
      </c>
      <c r="O49" s="57">
        <v>12713</v>
      </c>
      <c r="P49" s="57">
        <v>3251</v>
      </c>
      <c r="Q49" s="57" t="s">
        <v>107</v>
      </c>
      <c r="R49" s="65">
        <v>5712</v>
      </c>
      <c r="S49" s="60">
        <f t="shared" si="13"/>
        <v>212279</v>
      </c>
      <c r="T49" s="50">
        <f t="shared" si="9"/>
        <v>1.4955828034221585</v>
      </c>
      <c r="U49" s="6"/>
    </row>
    <row r="50" spans="1:21">
      <c r="A50" s="14" t="s">
        <v>78</v>
      </c>
      <c r="B50" s="57">
        <v>4</v>
      </c>
      <c r="C50" s="57">
        <v>15</v>
      </c>
      <c r="D50" s="57">
        <v>0</v>
      </c>
      <c r="E50" s="57">
        <v>0</v>
      </c>
      <c r="F50" s="57">
        <v>16</v>
      </c>
      <c r="G50" s="57">
        <v>147</v>
      </c>
      <c r="H50" s="57">
        <v>0</v>
      </c>
      <c r="I50" s="57">
        <v>0</v>
      </c>
      <c r="J50" s="57">
        <v>41</v>
      </c>
      <c r="K50" s="57">
        <v>5</v>
      </c>
      <c r="L50" s="57">
        <v>14</v>
      </c>
      <c r="M50" s="58">
        <v>0</v>
      </c>
      <c r="N50" s="57">
        <v>0</v>
      </c>
      <c r="O50" s="57">
        <v>1</v>
      </c>
      <c r="P50" s="57">
        <v>0</v>
      </c>
      <c r="Q50" s="57">
        <v>0</v>
      </c>
      <c r="R50" s="65">
        <v>0</v>
      </c>
      <c r="S50" s="60">
        <f t="shared" si="13"/>
        <v>243</v>
      </c>
      <c r="T50" s="50">
        <f t="shared" si="9"/>
        <v>1.7120234278076708E-3</v>
      </c>
      <c r="U50" s="6"/>
    </row>
    <row r="51" spans="1:21">
      <c r="A51" s="16" t="s">
        <v>57</v>
      </c>
      <c r="B51" s="62">
        <f>+B49+B48+B50</f>
        <v>21297</v>
      </c>
      <c r="C51" s="62">
        <f>+C49+C48+C50</f>
        <v>48273</v>
      </c>
      <c r="D51" s="62">
        <f t="shared" ref="D51:R51" si="14">+D49+D48+D50</f>
        <v>8503</v>
      </c>
      <c r="E51" s="62">
        <f t="shared" si="14"/>
        <v>4873</v>
      </c>
      <c r="F51" s="62">
        <f t="shared" si="14"/>
        <v>84931</v>
      </c>
      <c r="G51" s="62">
        <f t="shared" si="14"/>
        <v>315692</v>
      </c>
      <c r="H51" s="62">
        <f t="shared" si="14"/>
        <v>4478</v>
      </c>
      <c r="I51" s="62">
        <f t="shared" si="14"/>
        <v>4839</v>
      </c>
      <c r="J51" s="62">
        <f t="shared" si="14"/>
        <v>77739</v>
      </c>
      <c r="K51" s="62">
        <f t="shared" si="14"/>
        <v>5931</v>
      </c>
      <c r="L51" s="62">
        <f>+L49+L48+L50</f>
        <v>27487</v>
      </c>
      <c r="M51" s="62">
        <f t="shared" si="14"/>
        <v>16816</v>
      </c>
      <c r="N51" s="62">
        <f t="shared" si="14"/>
        <v>239069</v>
      </c>
      <c r="O51" s="62">
        <f t="shared" si="14"/>
        <v>62132</v>
      </c>
      <c r="P51" s="62">
        <f t="shared" si="14"/>
        <v>23230</v>
      </c>
      <c r="Q51" s="62">
        <f>+Q48</f>
        <v>12331</v>
      </c>
      <c r="R51" s="62">
        <f t="shared" si="14"/>
        <v>30001</v>
      </c>
      <c r="S51" s="62">
        <f t="shared" si="13"/>
        <v>987622</v>
      </c>
      <c r="T51" s="51">
        <f t="shared" si="9"/>
        <v>6.9581563860834059</v>
      </c>
      <c r="U51" s="6"/>
    </row>
    <row r="52" spans="1:21">
      <c r="A52" s="14" t="s">
        <v>58</v>
      </c>
      <c r="B52" s="57">
        <f>10847+2453+5309</f>
        <v>18609</v>
      </c>
      <c r="C52" s="57">
        <v>21727</v>
      </c>
      <c r="D52" s="57">
        <v>7977</v>
      </c>
      <c r="E52" s="57">
        <v>4032</v>
      </c>
      <c r="F52" s="57">
        <v>35542</v>
      </c>
      <c r="G52" s="57">
        <v>114878</v>
      </c>
      <c r="H52" s="57">
        <v>5722</v>
      </c>
      <c r="I52" s="57">
        <v>11633</v>
      </c>
      <c r="J52" s="57">
        <v>53470</v>
      </c>
      <c r="K52" s="57">
        <v>1787</v>
      </c>
      <c r="L52" s="57">
        <v>15393</v>
      </c>
      <c r="M52" s="58">
        <v>4605</v>
      </c>
      <c r="N52" s="57">
        <v>89925</v>
      </c>
      <c r="O52" s="57">
        <v>64573</v>
      </c>
      <c r="P52" s="57">
        <v>4622</v>
      </c>
      <c r="Q52" s="57">
        <v>4931</v>
      </c>
      <c r="R52" s="57">
        <v>8204</v>
      </c>
      <c r="S52" s="60">
        <f t="shared" si="13"/>
        <v>467630</v>
      </c>
      <c r="T52" s="50">
        <f t="shared" si="9"/>
        <v>3.2946235207642021</v>
      </c>
      <c r="U52" s="6"/>
    </row>
    <row r="53" spans="1:21">
      <c r="A53" s="14" t="s">
        <v>59</v>
      </c>
      <c r="B53" s="57">
        <f>4950+4486</f>
        <v>9436</v>
      </c>
      <c r="C53" s="57">
        <v>13950</v>
      </c>
      <c r="D53" s="57">
        <v>7743</v>
      </c>
      <c r="E53" s="57">
        <v>6270</v>
      </c>
      <c r="F53" s="57">
        <v>42313</v>
      </c>
      <c r="G53" s="57">
        <v>65797</v>
      </c>
      <c r="H53" s="57">
        <v>2830</v>
      </c>
      <c r="I53" s="57">
        <v>7326</v>
      </c>
      <c r="J53" s="57">
        <v>47766</v>
      </c>
      <c r="K53" s="57">
        <v>708</v>
      </c>
      <c r="L53" s="57">
        <v>26339</v>
      </c>
      <c r="M53" s="58">
        <v>5622</v>
      </c>
      <c r="N53" s="57">
        <v>95764</v>
      </c>
      <c r="O53" s="57">
        <v>67786</v>
      </c>
      <c r="P53" s="57">
        <v>23045</v>
      </c>
      <c r="Q53" s="57">
        <v>4461</v>
      </c>
      <c r="R53" s="57">
        <v>4879</v>
      </c>
      <c r="S53" s="60">
        <f t="shared" si="13"/>
        <v>432035</v>
      </c>
      <c r="T53" s="50">
        <f t="shared" si="9"/>
        <v>3.0438437927279303</v>
      </c>
      <c r="U53" s="6"/>
    </row>
    <row r="54" spans="1:21">
      <c r="A54" s="14" t="s">
        <v>60</v>
      </c>
      <c r="B54" s="57">
        <v>205</v>
      </c>
      <c r="C54" s="57">
        <v>965</v>
      </c>
      <c r="D54" s="57">
        <v>6</v>
      </c>
      <c r="E54" s="57">
        <v>16</v>
      </c>
      <c r="F54" s="57">
        <v>0</v>
      </c>
      <c r="G54" s="57">
        <v>2436</v>
      </c>
      <c r="H54" s="57">
        <v>28</v>
      </c>
      <c r="I54" s="57">
        <v>81</v>
      </c>
      <c r="J54" s="57">
        <v>2467</v>
      </c>
      <c r="K54" s="57">
        <v>114</v>
      </c>
      <c r="L54" s="57">
        <v>6</v>
      </c>
      <c r="M54" s="58">
        <v>0</v>
      </c>
      <c r="N54" s="57">
        <v>2754</v>
      </c>
      <c r="O54" s="57">
        <v>3412</v>
      </c>
      <c r="P54" s="57">
        <v>384</v>
      </c>
      <c r="Q54" s="57">
        <v>0</v>
      </c>
      <c r="R54" s="57">
        <v>773</v>
      </c>
      <c r="S54" s="60">
        <f t="shared" si="13"/>
        <v>13647</v>
      </c>
      <c r="T54" s="50">
        <f t="shared" si="9"/>
        <v>9.6148081149346851E-2</v>
      </c>
      <c r="U54" s="9"/>
    </row>
    <row r="55" spans="1:21">
      <c r="A55" s="16" t="s">
        <v>61</v>
      </c>
      <c r="B55" s="62">
        <f t="shared" ref="B55:R55" si="15">SUM(B52:B54)</f>
        <v>28250</v>
      </c>
      <c r="C55" s="62">
        <f t="shared" si="15"/>
        <v>36642</v>
      </c>
      <c r="D55" s="62">
        <f t="shared" si="15"/>
        <v>15726</v>
      </c>
      <c r="E55" s="62">
        <f t="shared" si="15"/>
        <v>10318</v>
      </c>
      <c r="F55" s="62">
        <f t="shared" si="15"/>
        <v>77855</v>
      </c>
      <c r="G55" s="62">
        <f t="shared" si="15"/>
        <v>183111</v>
      </c>
      <c r="H55" s="62">
        <f t="shared" si="15"/>
        <v>8580</v>
      </c>
      <c r="I55" s="62">
        <f t="shared" si="15"/>
        <v>19040</v>
      </c>
      <c r="J55" s="62">
        <f t="shared" si="15"/>
        <v>103703</v>
      </c>
      <c r="K55" s="62">
        <f t="shared" si="15"/>
        <v>2609</v>
      </c>
      <c r="L55" s="62">
        <f>SUM(L52:L54)</f>
        <v>41738</v>
      </c>
      <c r="M55" s="62">
        <f t="shared" si="15"/>
        <v>10227</v>
      </c>
      <c r="N55" s="62">
        <f t="shared" si="15"/>
        <v>188443</v>
      </c>
      <c r="O55" s="62">
        <f t="shared" si="15"/>
        <v>135771</v>
      </c>
      <c r="P55" s="62">
        <f t="shared" si="15"/>
        <v>28051</v>
      </c>
      <c r="Q55" s="62">
        <f t="shared" si="15"/>
        <v>9392</v>
      </c>
      <c r="R55" s="62">
        <f t="shared" si="15"/>
        <v>13856</v>
      </c>
      <c r="S55" s="62">
        <f t="shared" si="13"/>
        <v>913312</v>
      </c>
      <c r="T55" s="51">
        <f t="shared" si="9"/>
        <v>6.4346153946414795</v>
      </c>
      <c r="U55" s="21"/>
    </row>
    <row r="56" spans="1:21">
      <c r="A56" s="20" t="s">
        <v>62</v>
      </c>
      <c r="B56" s="57">
        <v>1154</v>
      </c>
      <c r="C56" s="57">
        <v>3957</v>
      </c>
      <c r="D56" s="57">
        <v>497</v>
      </c>
      <c r="E56" s="57">
        <v>226</v>
      </c>
      <c r="F56" s="57">
        <v>4580</v>
      </c>
      <c r="G56" s="57">
        <v>9500</v>
      </c>
      <c r="H56" s="57">
        <v>122</v>
      </c>
      <c r="I56" s="57">
        <v>608</v>
      </c>
      <c r="J56" s="57">
        <v>9272</v>
      </c>
      <c r="K56" s="57">
        <v>645</v>
      </c>
      <c r="L56" s="57">
        <v>4611</v>
      </c>
      <c r="M56" s="58">
        <v>851</v>
      </c>
      <c r="N56" s="57">
        <v>37019</v>
      </c>
      <c r="O56" s="57">
        <v>4394</v>
      </c>
      <c r="P56" s="57">
        <v>631</v>
      </c>
      <c r="Q56" s="57">
        <v>0</v>
      </c>
      <c r="R56" s="57">
        <v>1958</v>
      </c>
      <c r="S56" s="60">
        <f t="shared" si="13"/>
        <v>80025</v>
      </c>
      <c r="T56" s="52">
        <f t="shared" si="9"/>
        <v>0.56380524613295824</v>
      </c>
      <c r="U56" s="23"/>
    </row>
    <row r="57" spans="1:21">
      <c r="A57" s="14" t="s">
        <v>63</v>
      </c>
      <c r="B57" s="57">
        <v>1798</v>
      </c>
      <c r="C57" s="57">
        <v>6274</v>
      </c>
      <c r="D57" s="57">
        <v>137</v>
      </c>
      <c r="E57" s="57">
        <v>242</v>
      </c>
      <c r="F57" s="57">
        <v>6803</v>
      </c>
      <c r="G57" s="57">
        <v>18141</v>
      </c>
      <c r="H57" s="57">
        <v>183</v>
      </c>
      <c r="I57" s="57">
        <v>1024</v>
      </c>
      <c r="J57" s="57">
        <v>17365</v>
      </c>
      <c r="K57" s="57">
        <f>107+741</f>
        <v>848</v>
      </c>
      <c r="L57" s="57">
        <v>1666</v>
      </c>
      <c r="M57" s="58">
        <v>770</v>
      </c>
      <c r="N57" s="57">
        <v>77906</v>
      </c>
      <c r="O57" s="57">
        <v>7808</v>
      </c>
      <c r="P57" s="57">
        <v>657</v>
      </c>
      <c r="Q57" s="57">
        <v>0</v>
      </c>
      <c r="R57" s="57">
        <v>3809</v>
      </c>
      <c r="S57" s="60">
        <f t="shared" si="13"/>
        <v>145431</v>
      </c>
      <c r="T57" s="50">
        <f t="shared" si="9"/>
        <v>1.024614317405339</v>
      </c>
      <c r="U57" s="9"/>
    </row>
    <row r="58" spans="1:21">
      <c r="A58" s="16" t="s">
        <v>64</v>
      </c>
      <c r="B58" s="62">
        <f>+B57+B56</f>
        <v>2952</v>
      </c>
      <c r="C58" s="62">
        <f>SUM(C56:C57)</f>
        <v>10231</v>
      </c>
      <c r="D58" s="62">
        <f>+D57+D56</f>
        <v>634</v>
      </c>
      <c r="E58" s="62">
        <f>SUM(E56:E57)</f>
        <v>468</v>
      </c>
      <c r="F58" s="62">
        <f>SUM(F56:F57)</f>
        <v>11383</v>
      </c>
      <c r="G58" s="62">
        <f>+G57+G56</f>
        <v>27641</v>
      </c>
      <c r="H58" s="62">
        <f t="shared" ref="H58:N58" si="16">SUM(H56:H57)</f>
        <v>305</v>
      </c>
      <c r="I58" s="62">
        <f t="shared" si="16"/>
        <v>1632</v>
      </c>
      <c r="J58" s="62">
        <f t="shared" si="16"/>
        <v>26637</v>
      </c>
      <c r="K58" s="62">
        <f t="shared" si="16"/>
        <v>1493</v>
      </c>
      <c r="L58" s="62">
        <f>SUM(L56:L57)</f>
        <v>6277</v>
      </c>
      <c r="M58" s="62">
        <f t="shared" si="16"/>
        <v>1621</v>
      </c>
      <c r="N58" s="62">
        <f t="shared" si="16"/>
        <v>114925</v>
      </c>
      <c r="O58" s="62">
        <f>+O57+O56</f>
        <v>12202</v>
      </c>
      <c r="P58" s="62">
        <f>+P57+P56</f>
        <v>1288</v>
      </c>
      <c r="Q58" s="62" t="s">
        <v>107</v>
      </c>
      <c r="R58" s="62">
        <f>SUM(R56:R57)</f>
        <v>5767</v>
      </c>
      <c r="S58" s="62">
        <f t="shared" si="13"/>
        <v>225456</v>
      </c>
      <c r="T58" s="51">
        <f t="shared" si="9"/>
        <v>1.5884195635382972</v>
      </c>
      <c r="U58" s="6"/>
    </row>
    <row r="59" spans="1:21">
      <c r="A59" s="14" t="s">
        <v>66</v>
      </c>
      <c r="B59" s="57">
        <v>17</v>
      </c>
      <c r="C59" s="57">
        <v>57</v>
      </c>
      <c r="D59" s="57">
        <v>2</v>
      </c>
      <c r="E59" s="57">
        <v>0</v>
      </c>
      <c r="F59" s="57">
        <v>0</v>
      </c>
      <c r="G59" s="57">
        <v>307</v>
      </c>
      <c r="H59" s="57">
        <v>1</v>
      </c>
      <c r="I59" s="57">
        <v>0</v>
      </c>
      <c r="J59" s="57">
        <v>29</v>
      </c>
      <c r="K59" s="57">
        <v>37</v>
      </c>
      <c r="L59" s="57">
        <v>31</v>
      </c>
      <c r="M59" s="58">
        <v>10</v>
      </c>
      <c r="N59" s="57">
        <v>1455</v>
      </c>
      <c r="O59" s="57">
        <v>15</v>
      </c>
      <c r="P59" s="57">
        <v>0</v>
      </c>
      <c r="Q59" s="57">
        <v>0</v>
      </c>
      <c r="R59" s="57">
        <v>165</v>
      </c>
      <c r="S59" s="60">
        <f t="shared" si="13"/>
        <v>2126</v>
      </c>
      <c r="T59" s="50">
        <f t="shared" si="9"/>
        <v>1.4978443652342008E-2</v>
      </c>
      <c r="U59" s="6"/>
    </row>
    <row r="60" spans="1:21">
      <c r="A60" s="14" t="s">
        <v>67</v>
      </c>
      <c r="B60" s="57">
        <v>0</v>
      </c>
      <c r="C60" s="57">
        <v>1</v>
      </c>
      <c r="D60" s="57">
        <v>0</v>
      </c>
      <c r="E60" s="57" t="s">
        <v>111</v>
      </c>
      <c r="F60" s="57">
        <v>0</v>
      </c>
      <c r="G60" s="57">
        <v>857</v>
      </c>
      <c r="H60" s="57">
        <v>0</v>
      </c>
      <c r="I60" s="57">
        <v>0</v>
      </c>
      <c r="J60" s="57">
        <v>0</v>
      </c>
      <c r="K60" s="57">
        <v>0</v>
      </c>
      <c r="L60" s="57">
        <v>0</v>
      </c>
      <c r="M60" s="58">
        <v>0</v>
      </c>
      <c r="N60" s="57">
        <v>0</v>
      </c>
      <c r="O60" s="57">
        <v>0</v>
      </c>
      <c r="P60" s="57">
        <v>55</v>
      </c>
      <c r="Q60" s="57">
        <v>0</v>
      </c>
      <c r="R60" s="57">
        <v>0</v>
      </c>
      <c r="S60" s="60">
        <f t="shared" si="13"/>
        <v>913</v>
      </c>
      <c r="T60" s="50">
        <f t="shared" si="9"/>
        <v>6.4324172411045419E-3</v>
      </c>
      <c r="U60" s="6"/>
    </row>
    <row r="61" spans="1:21">
      <c r="A61" s="24" t="s">
        <v>65</v>
      </c>
      <c r="B61" s="57">
        <f>48+155</f>
        <v>203</v>
      </c>
      <c r="C61" s="57">
        <v>0</v>
      </c>
      <c r="D61" s="57">
        <v>0</v>
      </c>
      <c r="E61" s="57">
        <v>9</v>
      </c>
      <c r="F61" s="57">
        <v>0</v>
      </c>
      <c r="G61" s="57">
        <v>2545</v>
      </c>
      <c r="H61" s="57">
        <v>0</v>
      </c>
      <c r="I61" s="57">
        <v>0</v>
      </c>
      <c r="J61" s="57">
        <v>60</v>
      </c>
      <c r="K61" s="57">
        <v>24</v>
      </c>
      <c r="L61" s="57">
        <v>0</v>
      </c>
      <c r="M61" s="58">
        <v>0</v>
      </c>
      <c r="N61" s="57">
        <v>0</v>
      </c>
      <c r="O61" s="57">
        <v>2</v>
      </c>
      <c r="P61" s="57">
        <v>0</v>
      </c>
      <c r="Q61" s="57">
        <v>0</v>
      </c>
      <c r="R61" s="57">
        <v>0</v>
      </c>
      <c r="S61" s="60">
        <f t="shared" si="13"/>
        <v>2843</v>
      </c>
      <c r="T61" s="50">
        <f t="shared" si="9"/>
        <v>2.0029969568959704E-2</v>
      </c>
      <c r="U61" s="6"/>
    </row>
    <row r="62" spans="1:21">
      <c r="A62" s="14" t="s">
        <v>68</v>
      </c>
      <c r="B62" s="57">
        <v>7</v>
      </c>
      <c r="C62" s="57">
        <v>34</v>
      </c>
      <c r="D62" s="57">
        <v>0</v>
      </c>
      <c r="E62" s="57" t="s">
        <v>111</v>
      </c>
      <c r="F62" s="57">
        <v>0</v>
      </c>
      <c r="G62" s="57">
        <v>199</v>
      </c>
      <c r="H62" s="57">
        <v>0</v>
      </c>
      <c r="I62" s="57">
        <v>0</v>
      </c>
      <c r="J62" s="57">
        <v>90</v>
      </c>
      <c r="K62" s="57">
        <v>17</v>
      </c>
      <c r="L62" s="57">
        <v>0</v>
      </c>
      <c r="M62" s="58">
        <v>0</v>
      </c>
      <c r="N62" s="57">
        <v>247</v>
      </c>
      <c r="O62" s="57">
        <v>8</v>
      </c>
      <c r="P62" s="57">
        <v>0</v>
      </c>
      <c r="Q62" s="57">
        <v>0</v>
      </c>
      <c r="R62" s="57">
        <v>0</v>
      </c>
      <c r="S62" s="60">
        <f t="shared" si="13"/>
        <v>602</v>
      </c>
      <c r="T62" s="50">
        <f t="shared" si="9"/>
        <v>4.2413090680667401E-3</v>
      </c>
      <c r="U62" s="6"/>
    </row>
    <row r="63" spans="1:21">
      <c r="A63" s="14" t="s">
        <v>70</v>
      </c>
      <c r="B63" s="57">
        <v>0</v>
      </c>
      <c r="C63" s="57">
        <v>0</v>
      </c>
      <c r="D63" s="57">
        <v>0</v>
      </c>
      <c r="E63" s="57">
        <v>0</v>
      </c>
      <c r="F63" s="57">
        <v>0</v>
      </c>
      <c r="G63" s="57">
        <v>0</v>
      </c>
      <c r="H63" s="57">
        <v>0</v>
      </c>
      <c r="I63" s="57">
        <v>0</v>
      </c>
      <c r="J63" s="57">
        <v>0</v>
      </c>
      <c r="K63" s="57">
        <v>0</v>
      </c>
      <c r="L63" s="57">
        <v>0</v>
      </c>
      <c r="M63" s="58">
        <v>0</v>
      </c>
      <c r="N63" s="57">
        <v>0</v>
      </c>
      <c r="O63" s="57">
        <v>0</v>
      </c>
      <c r="P63" s="57">
        <v>0</v>
      </c>
      <c r="Q63" s="57">
        <v>0</v>
      </c>
      <c r="R63" s="57">
        <v>0</v>
      </c>
      <c r="S63" s="60">
        <f t="shared" si="13"/>
        <v>0</v>
      </c>
      <c r="T63" s="50">
        <f t="shared" si="9"/>
        <v>0</v>
      </c>
      <c r="U63" s="6"/>
    </row>
    <row r="64" spans="1:21">
      <c r="A64" s="14" t="s">
        <v>71</v>
      </c>
      <c r="B64" s="57">
        <v>0</v>
      </c>
      <c r="C64" s="57">
        <v>0</v>
      </c>
      <c r="D64" s="57">
        <v>0</v>
      </c>
      <c r="E64" s="57">
        <v>0</v>
      </c>
      <c r="F64" s="57">
        <v>0</v>
      </c>
      <c r="G64" s="57">
        <v>0</v>
      </c>
      <c r="H64" s="57">
        <v>0</v>
      </c>
      <c r="I64" s="57">
        <v>0</v>
      </c>
      <c r="J64" s="57">
        <v>0</v>
      </c>
      <c r="K64" s="57">
        <v>0</v>
      </c>
      <c r="L64" s="57">
        <v>0</v>
      </c>
      <c r="M64" s="58">
        <v>0</v>
      </c>
      <c r="N64" s="57">
        <v>0</v>
      </c>
      <c r="O64" s="57">
        <v>0</v>
      </c>
      <c r="P64" s="57">
        <v>0</v>
      </c>
      <c r="Q64" s="57">
        <v>0</v>
      </c>
      <c r="R64" s="57">
        <v>0</v>
      </c>
      <c r="S64" s="60">
        <f t="shared" si="13"/>
        <v>0</v>
      </c>
      <c r="T64" s="50">
        <f t="shared" si="9"/>
        <v>0</v>
      </c>
      <c r="U64" s="6"/>
    </row>
    <row r="65" spans="1:21">
      <c r="A65" s="14" t="s">
        <v>76</v>
      </c>
      <c r="B65" s="57">
        <v>473</v>
      </c>
      <c r="C65" s="57">
        <v>878</v>
      </c>
      <c r="D65" s="57">
        <v>95</v>
      </c>
      <c r="E65" s="57">
        <v>172</v>
      </c>
      <c r="F65" s="57">
        <v>0</v>
      </c>
      <c r="G65" s="57">
        <v>1905</v>
      </c>
      <c r="H65" s="57">
        <v>2</v>
      </c>
      <c r="I65" s="57">
        <v>120</v>
      </c>
      <c r="J65" s="57">
        <v>465</v>
      </c>
      <c r="K65" s="57">
        <v>86</v>
      </c>
      <c r="L65" s="57">
        <v>8595</v>
      </c>
      <c r="M65" s="58">
        <v>0</v>
      </c>
      <c r="N65" s="57">
        <v>3372</v>
      </c>
      <c r="O65" s="57">
        <v>323</v>
      </c>
      <c r="P65" s="57">
        <v>0</v>
      </c>
      <c r="Q65" s="57">
        <v>8614</v>
      </c>
      <c r="R65" s="57">
        <v>0</v>
      </c>
      <c r="S65" s="60">
        <f t="shared" si="13"/>
        <v>25100</v>
      </c>
      <c r="T65" s="50">
        <f t="shared" si="9"/>
        <v>0.17683863390112156</v>
      </c>
      <c r="U65" s="6"/>
    </row>
    <row r="66" spans="1:21">
      <c r="A66" s="83" t="s">
        <v>72</v>
      </c>
      <c r="B66" s="84">
        <v>76</v>
      </c>
      <c r="C66" s="84">
        <v>234</v>
      </c>
      <c r="D66" s="84">
        <v>137</v>
      </c>
      <c r="E66" s="84">
        <v>1590</v>
      </c>
      <c r="F66" s="84">
        <f>22368-270-720+226</f>
        <v>21604</v>
      </c>
      <c r="G66" s="84">
        <v>18534</v>
      </c>
      <c r="H66" s="84">
        <v>33</v>
      </c>
      <c r="I66" s="84">
        <v>1</v>
      </c>
      <c r="J66" s="84">
        <v>2620</v>
      </c>
      <c r="K66" s="84">
        <v>84</v>
      </c>
      <c r="L66" s="84">
        <f>1932+8+16+52+11+4</f>
        <v>2023</v>
      </c>
      <c r="M66" s="85">
        <v>14</v>
      </c>
      <c r="N66" s="84">
        <v>14960</v>
      </c>
      <c r="O66" s="84">
        <v>201</v>
      </c>
      <c r="P66" s="84">
        <v>12921</v>
      </c>
      <c r="Q66" s="84">
        <v>6651</v>
      </c>
      <c r="R66" s="84">
        <v>3424</v>
      </c>
      <c r="S66" s="86">
        <f t="shared" si="13"/>
        <v>85107</v>
      </c>
      <c r="T66" s="50">
        <f t="shared" si="9"/>
        <v>0.59960978547500998</v>
      </c>
      <c r="U66" s="6"/>
    </row>
    <row r="67" spans="1:21" s="38" customFormat="1">
      <c r="A67" s="87" t="s">
        <v>14</v>
      </c>
      <c r="B67" s="87">
        <f>SUM(B12,B17,B18,B19,B23,B26,B36,B44,B47,B51,B55,B58,B59:B66)</f>
        <v>341068</v>
      </c>
      <c r="C67" s="87">
        <f>+C66+C65+C62+C60+C59+C58+C55+C51+C47+C44+C36+C26+C23+C19+C18+C17+C12</f>
        <v>549632</v>
      </c>
      <c r="D67" s="87">
        <f t="shared" ref="D67:R67" si="17">SUM(D12,D17,D18,D19,D23,D26,D36,D44,D47,D51,D55,D58,D59:D66)</f>
        <v>218483</v>
      </c>
      <c r="E67" s="88">
        <f t="shared" si="17"/>
        <v>120505</v>
      </c>
      <c r="F67" s="87">
        <f t="shared" si="17"/>
        <v>2173481</v>
      </c>
      <c r="G67" s="87">
        <f t="shared" si="17"/>
        <v>3435778</v>
      </c>
      <c r="H67" s="88">
        <f t="shared" si="17"/>
        <v>103431</v>
      </c>
      <c r="I67" s="87">
        <f t="shared" si="17"/>
        <v>125671</v>
      </c>
      <c r="J67" s="87">
        <f t="shared" si="17"/>
        <v>1911056</v>
      </c>
      <c r="K67" s="87">
        <f>SUM(K12,K17,K18,K19,K23,K26,K36,K44,K47,K51,K55,K58,K59:K66)</f>
        <v>52811</v>
      </c>
      <c r="L67" s="87">
        <f t="shared" si="17"/>
        <v>443530</v>
      </c>
      <c r="M67" s="87">
        <f t="shared" si="17"/>
        <v>228327</v>
      </c>
      <c r="N67" s="87">
        <f t="shared" si="17"/>
        <v>2367147</v>
      </c>
      <c r="O67" s="87">
        <f t="shared" si="17"/>
        <v>1321437</v>
      </c>
      <c r="P67" s="87">
        <f t="shared" si="17"/>
        <v>353729</v>
      </c>
      <c r="Q67" s="88">
        <f>+Q65+Q55+Q51+Q47+Q36+Q26+Q19+Q18+Q17+Q12+Q66</f>
        <v>147929</v>
      </c>
      <c r="R67" s="87">
        <f t="shared" si="17"/>
        <v>299716</v>
      </c>
      <c r="S67" s="87">
        <f>SUM(B67:R67)</f>
        <v>14193731</v>
      </c>
      <c r="T67" s="53">
        <f t="shared" si="9"/>
        <v>100</v>
      </c>
      <c r="U67" s="27"/>
    </row>
    <row r="68" spans="1:21" ht="17.25">
      <c r="A68" s="76" t="s">
        <v>92</v>
      </c>
      <c r="B68" s="76" t="s">
        <v>112</v>
      </c>
      <c r="C68" s="77"/>
      <c r="D68" s="77"/>
      <c r="E68" s="77"/>
      <c r="F68" s="77"/>
      <c r="G68" s="77"/>
      <c r="H68" s="77"/>
      <c r="I68" s="77"/>
      <c r="J68" s="38"/>
      <c r="K68" s="77"/>
      <c r="L68" s="77"/>
      <c r="M68" s="77"/>
      <c r="N68" s="77"/>
      <c r="O68" s="77"/>
      <c r="P68" s="77"/>
      <c r="Q68" s="77"/>
      <c r="R68" s="77"/>
      <c r="S68" s="77"/>
      <c r="T68" s="78"/>
      <c r="U68" s="6"/>
    </row>
    <row r="69" spans="1:21" ht="17.25">
      <c r="A69" s="76" t="s">
        <v>94</v>
      </c>
      <c r="B69" s="6"/>
      <c r="C69" s="6"/>
      <c r="D69" s="6"/>
      <c r="E69" s="6"/>
      <c r="F69" s="6"/>
      <c r="G69" s="7"/>
      <c r="H69" s="6"/>
      <c r="I69" s="6"/>
      <c r="J69" s="6"/>
      <c r="K69" s="6"/>
      <c r="L69" s="6"/>
      <c r="M69" s="8"/>
      <c r="N69" s="6"/>
      <c r="O69" s="6"/>
      <c r="P69" s="6"/>
      <c r="Q69" s="6"/>
      <c r="R69" s="6"/>
      <c r="S69" s="9"/>
      <c r="T69" s="73" t="s">
        <v>73</v>
      </c>
    </row>
    <row r="70" spans="1:21" hidden="1">
      <c r="A70" s="2" t="s">
        <v>106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</row>
    <row r="71" spans="1:21" hidden="1">
      <c r="A71" s="2" t="s">
        <v>76</v>
      </c>
      <c r="B71" s="26">
        <v>475</v>
      </c>
      <c r="C71" s="26">
        <v>878</v>
      </c>
      <c r="D71" s="26">
        <v>95</v>
      </c>
      <c r="E71" s="26">
        <v>172</v>
      </c>
      <c r="F71" s="26">
        <v>1252</v>
      </c>
      <c r="G71" s="82">
        <v>1900</v>
      </c>
      <c r="H71" s="26">
        <v>2</v>
      </c>
      <c r="I71" s="26">
        <v>120</v>
      </c>
      <c r="J71" s="26">
        <v>464</v>
      </c>
      <c r="K71" s="26">
        <v>86</v>
      </c>
      <c r="L71" s="26">
        <v>8585</v>
      </c>
      <c r="M71" s="82">
        <v>0</v>
      </c>
      <c r="N71" s="26">
        <v>3372</v>
      </c>
      <c r="O71" s="26">
        <v>468</v>
      </c>
      <c r="P71" s="26">
        <v>1228</v>
      </c>
      <c r="Q71" s="26">
        <v>8614</v>
      </c>
      <c r="R71" s="26">
        <v>1462</v>
      </c>
      <c r="S71" s="26">
        <f>SUM(B71:R71)</f>
        <v>29173</v>
      </c>
      <c r="T71" s="71">
        <f>S71/S$67*100</f>
        <v>0.20553440106762627</v>
      </c>
    </row>
    <row r="72" spans="1:21">
      <c r="B72" s="74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</row>
    <row r="73" spans="1:21">
      <c r="S73" s="48"/>
    </row>
    <row r="74" spans="1:21">
      <c r="S74" s="48"/>
    </row>
  </sheetData>
  <sortState xmlns:xlrd2="http://schemas.microsoft.com/office/spreadsheetml/2017/richdata2" ref="V5:W42">
    <sortCondition ref="V5:V42"/>
  </sortState>
  <pageMargins left="0.70866141732283472" right="0.70866141732283472" top="0.74803149606299213" bottom="0.74803149606299213" header="0.31496062992125984" footer="0.31496062992125984"/>
  <pageSetup paperSize="8" scale="67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rowBreaks count="1" manualBreakCount="1">
    <brk id="51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75"/>
  <sheetViews>
    <sheetView showGridLines="0" workbookViewId="0">
      <pane ySplit="4" topLeftCell="A5" activePane="bottomLeft" state="frozenSplit"/>
      <selection activeCell="F9" sqref="F9"/>
      <selection pane="bottomLeft" activeCell="A4" sqref="A4"/>
    </sheetView>
  </sheetViews>
  <sheetFormatPr defaultColWidth="9.28515625" defaultRowHeight="15"/>
  <cols>
    <col min="1" max="1" width="24.42578125" style="2" customWidth="1"/>
    <col min="2" max="2" width="9" style="2" customWidth="1"/>
    <col min="3" max="3" width="9.42578125" style="2" customWidth="1"/>
    <col min="4" max="5" width="9" style="2" customWidth="1"/>
    <col min="6" max="6" width="10.5703125" style="2" customWidth="1"/>
    <col min="7" max="7" width="10.5703125" style="3" customWidth="1"/>
    <col min="8" max="8" width="8.28515625" style="2" customWidth="1"/>
    <col min="9" max="9" width="9.42578125" style="2" customWidth="1"/>
    <col min="10" max="10" width="10.5703125" style="2" customWidth="1"/>
    <col min="11" max="11" width="9" style="2" bestFit="1" customWidth="1"/>
    <col min="12" max="12" width="9" style="2" customWidth="1"/>
    <col min="13" max="13" width="9" style="3" customWidth="1"/>
    <col min="14" max="15" width="10.5703125" style="2" customWidth="1"/>
    <col min="16" max="18" width="9" style="2" customWidth="1"/>
    <col min="19" max="19" width="11.5703125" style="2" customWidth="1"/>
    <col min="20" max="20" width="8.42578125" style="71" customWidth="1"/>
    <col min="21" max="21" width="9.28515625" style="2"/>
    <col min="22" max="22" width="13.42578125" style="2" bestFit="1" customWidth="1"/>
    <col min="23" max="16384" width="9.28515625" style="2"/>
  </cols>
  <sheetData>
    <row r="1" spans="1:21" ht="21" customHeight="1">
      <c r="B1" s="1" t="s">
        <v>95</v>
      </c>
    </row>
    <row r="2" spans="1:21" ht="15.75">
      <c r="B2" s="5" t="s">
        <v>96</v>
      </c>
      <c r="C2" s="6"/>
      <c r="D2" s="6"/>
      <c r="E2" s="6"/>
      <c r="F2" s="6"/>
      <c r="G2" s="7"/>
      <c r="H2" s="6"/>
      <c r="I2" s="6"/>
      <c r="J2" s="6"/>
      <c r="K2" s="6"/>
      <c r="L2" s="6"/>
      <c r="M2" s="8"/>
      <c r="N2" s="6"/>
      <c r="O2" s="6"/>
      <c r="P2" s="6"/>
      <c r="Q2" s="6"/>
      <c r="R2" s="6"/>
      <c r="S2" s="47"/>
      <c r="T2" s="72"/>
      <c r="U2" s="6"/>
    </row>
    <row r="3" spans="1:21">
      <c r="A3" s="6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9"/>
      <c r="T3" s="72"/>
      <c r="U3" s="6"/>
    </row>
    <row r="4" spans="1:21" ht="17.25">
      <c r="A4" s="80" t="s">
        <v>0</v>
      </c>
      <c r="B4" s="81" t="s">
        <v>1</v>
      </c>
      <c r="C4" s="81" t="s">
        <v>2</v>
      </c>
      <c r="D4" s="81" t="s">
        <v>82</v>
      </c>
      <c r="E4" s="81" t="s">
        <v>79</v>
      </c>
      <c r="F4" s="81" t="s">
        <v>3</v>
      </c>
      <c r="G4" s="81" t="s">
        <v>80</v>
      </c>
      <c r="H4" s="81" t="s">
        <v>4</v>
      </c>
      <c r="I4" s="81" t="s">
        <v>5</v>
      </c>
      <c r="J4" s="81" t="s">
        <v>81</v>
      </c>
      <c r="K4" s="81" t="s">
        <v>6</v>
      </c>
      <c r="L4" s="81" t="s">
        <v>7</v>
      </c>
      <c r="M4" s="81" t="s">
        <v>8</v>
      </c>
      <c r="N4" s="81" t="s">
        <v>9</v>
      </c>
      <c r="O4" s="81" t="s">
        <v>10</v>
      </c>
      <c r="P4" s="81" t="s">
        <v>11</v>
      </c>
      <c r="Q4" s="81" t="s">
        <v>12</v>
      </c>
      <c r="R4" s="81" t="s">
        <v>13</v>
      </c>
      <c r="S4" s="81" t="s">
        <v>85</v>
      </c>
      <c r="T4" s="81" t="s">
        <v>15</v>
      </c>
      <c r="U4" s="11"/>
    </row>
    <row r="5" spans="1:21">
      <c r="A5" s="12" t="s">
        <v>16</v>
      </c>
      <c r="B5" s="54">
        <v>17092</v>
      </c>
      <c r="C5" s="54">
        <v>33323</v>
      </c>
      <c r="D5" s="54">
        <v>7656</v>
      </c>
      <c r="E5" s="54">
        <v>5599</v>
      </c>
      <c r="F5" s="54">
        <v>65690</v>
      </c>
      <c r="G5" s="54">
        <v>283196</v>
      </c>
      <c r="H5" s="54">
        <v>3085</v>
      </c>
      <c r="I5" s="54">
        <v>5535</v>
      </c>
      <c r="J5" s="54">
        <v>67120</v>
      </c>
      <c r="K5" s="54">
        <v>4468</v>
      </c>
      <c r="L5" s="54">
        <v>14607</v>
      </c>
      <c r="M5" s="55">
        <v>9614</v>
      </c>
      <c r="N5" s="54">
        <v>174982</v>
      </c>
      <c r="O5" s="54">
        <v>54939</v>
      </c>
      <c r="P5" s="54">
        <v>20619</v>
      </c>
      <c r="Q5" s="54">
        <v>7673</v>
      </c>
      <c r="R5" s="54">
        <v>20618</v>
      </c>
      <c r="S5" s="56">
        <f>SUM(B5:R5)</f>
        <v>795816</v>
      </c>
      <c r="T5" s="49">
        <f t="shared" ref="T5:T42" si="0">S5/S$67*100</f>
        <v>5.5650912022348304</v>
      </c>
      <c r="U5" s="6"/>
    </row>
    <row r="6" spans="1:21">
      <c r="A6" s="14" t="s">
        <v>77</v>
      </c>
      <c r="B6" s="57">
        <v>73</v>
      </c>
      <c r="C6" s="57">
        <v>71</v>
      </c>
      <c r="D6" s="57">
        <v>4</v>
      </c>
      <c r="E6" s="57">
        <v>1</v>
      </c>
      <c r="F6" s="57">
        <v>0</v>
      </c>
      <c r="G6" s="57">
        <v>0</v>
      </c>
      <c r="H6" s="57">
        <v>3</v>
      </c>
      <c r="I6" s="57">
        <v>0</v>
      </c>
      <c r="J6" s="57">
        <v>0</v>
      </c>
      <c r="K6" s="57">
        <v>38</v>
      </c>
      <c r="L6" s="57">
        <v>52</v>
      </c>
      <c r="M6" s="58">
        <v>10</v>
      </c>
      <c r="N6" s="59">
        <v>1753</v>
      </c>
      <c r="O6" s="57">
        <v>52</v>
      </c>
      <c r="P6" s="57">
        <v>0</v>
      </c>
      <c r="Q6" s="57">
        <v>1</v>
      </c>
      <c r="R6" s="57">
        <v>0</v>
      </c>
      <c r="S6" s="60">
        <f t="shared" ref="S6:S67" si="1">SUM(B6:R6)</f>
        <v>2058</v>
      </c>
      <c r="T6" s="50">
        <f t="shared" si="0"/>
        <v>1.4391464476963623E-2</v>
      </c>
      <c r="U6" s="6"/>
    </row>
    <row r="7" spans="1:21">
      <c r="A7" s="14" t="s">
        <v>18</v>
      </c>
      <c r="B7" s="57">
        <v>33</v>
      </c>
      <c r="C7" s="57">
        <v>20</v>
      </c>
      <c r="D7" s="57">
        <v>0</v>
      </c>
      <c r="E7" s="57">
        <v>1</v>
      </c>
      <c r="F7" s="57">
        <v>0</v>
      </c>
      <c r="G7" s="57">
        <v>0</v>
      </c>
      <c r="H7" s="57">
        <v>0</v>
      </c>
      <c r="I7" s="61">
        <v>0</v>
      </c>
      <c r="J7" s="57">
        <v>133</v>
      </c>
      <c r="K7" s="57">
        <v>35</v>
      </c>
      <c r="L7" s="57">
        <v>8</v>
      </c>
      <c r="M7" s="58">
        <v>4</v>
      </c>
      <c r="N7" s="57">
        <v>0</v>
      </c>
      <c r="O7" s="57">
        <v>14</v>
      </c>
      <c r="P7" s="57">
        <v>0</v>
      </c>
      <c r="Q7" s="57">
        <v>0</v>
      </c>
      <c r="R7" s="57">
        <v>0</v>
      </c>
      <c r="S7" s="60">
        <f t="shared" si="1"/>
        <v>248</v>
      </c>
      <c r="T7" s="50">
        <f t="shared" si="0"/>
        <v>1.7342483917818165E-3</v>
      </c>
      <c r="U7" s="6"/>
    </row>
    <row r="8" spans="1:21">
      <c r="A8" s="14" t="s">
        <v>69</v>
      </c>
      <c r="B8" s="57">
        <v>1258</v>
      </c>
      <c r="C8" s="57">
        <v>3450</v>
      </c>
      <c r="D8" s="57">
        <v>133</v>
      </c>
      <c r="E8" s="57">
        <v>181</v>
      </c>
      <c r="F8" s="57">
        <v>5457</v>
      </c>
      <c r="G8" s="57">
        <v>29276</v>
      </c>
      <c r="H8" s="57">
        <v>67</v>
      </c>
      <c r="I8" s="57">
        <v>77</v>
      </c>
      <c r="J8" s="57">
        <v>5505</v>
      </c>
      <c r="K8" s="57">
        <v>798</v>
      </c>
      <c r="L8" s="57">
        <v>1430</v>
      </c>
      <c r="M8" s="58">
        <v>207</v>
      </c>
      <c r="N8" s="57">
        <v>14051</v>
      </c>
      <c r="O8" s="57">
        <v>2302</v>
      </c>
      <c r="P8" s="57">
        <v>1552</v>
      </c>
      <c r="Q8" s="57">
        <v>684</v>
      </c>
      <c r="R8" s="57">
        <v>3965</v>
      </c>
      <c r="S8" s="60">
        <f t="shared" si="1"/>
        <v>70393</v>
      </c>
      <c r="T8" s="50">
        <f t="shared" si="0"/>
        <v>0.49225381872055407</v>
      </c>
      <c r="U8" s="6"/>
    </row>
    <row r="9" spans="1:21">
      <c r="A9" s="14" t="s">
        <v>19</v>
      </c>
      <c r="B9" s="57">
        <v>17484</v>
      </c>
      <c r="C9" s="57">
        <v>7461</v>
      </c>
      <c r="D9" s="57">
        <v>4810</v>
      </c>
      <c r="E9" s="57">
        <v>2334</v>
      </c>
      <c r="F9" s="57">
        <v>24715</v>
      </c>
      <c r="G9" s="57">
        <v>108203</v>
      </c>
      <c r="H9" s="57">
        <v>1874</v>
      </c>
      <c r="I9" s="57">
        <v>3301</v>
      </c>
      <c r="J9" s="57">
        <v>17529</v>
      </c>
      <c r="K9" s="57">
        <v>1132</v>
      </c>
      <c r="L9" s="57">
        <v>8739</v>
      </c>
      <c r="M9" s="58">
        <v>8234</v>
      </c>
      <c r="N9" s="57">
        <v>56130</v>
      </c>
      <c r="O9" s="57">
        <v>94461</v>
      </c>
      <c r="P9" s="57">
        <v>6218</v>
      </c>
      <c r="Q9" s="57">
        <v>13</v>
      </c>
      <c r="R9" s="57">
        <v>12053</v>
      </c>
      <c r="S9" s="60">
        <f t="shared" si="1"/>
        <v>374691</v>
      </c>
      <c r="T9" s="50">
        <f t="shared" si="0"/>
        <v>2.62019058131097</v>
      </c>
      <c r="U9" s="6"/>
    </row>
    <row r="10" spans="1:21">
      <c r="A10" s="14" t="s">
        <v>20</v>
      </c>
      <c r="B10" s="57">
        <v>24914</v>
      </c>
      <c r="C10" s="57">
        <v>19612</v>
      </c>
      <c r="D10" s="57">
        <v>13193</v>
      </c>
      <c r="E10" s="57">
        <v>11505</v>
      </c>
      <c r="F10" s="57">
        <v>26799</v>
      </c>
      <c r="G10" s="57">
        <v>194230</v>
      </c>
      <c r="H10" s="57">
        <v>3086</v>
      </c>
      <c r="I10" s="57">
        <v>9029</v>
      </c>
      <c r="J10" s="57">
        <v>23132</v>
      </c>
      <c r="K10" s="57">
        <v>2120</v>
      </c>
      <c r="L10" s="57">
        <v>16594</v>
      </c>
      <c r="M10" s="58">
        <v>2280</v>
      </c>
      <c r="N10" s="57">
        <v>79758</v>
      </c>
      <c r="O10" s="57">
        <v>24860</v>
      </c>
      <c r="P10" s="57">
        <v>17319</v>
      </c>
      <c r="Q10" s="57">
        <v>9042</v>
      </c>
      <c r="R10" s="57">
        <v>20582</v>
      </c>
      <c r="S10" s="60">
        <f t="shared" si="1"/>
        <v>498055</v>
      </c>
      <c r="T10" s="50">
        <f t="shared" si="0"/>
        <v>3.4828672692294051</v>
      </c>
      <c r="U10" s="6"/>
    </row>
    <row r="11" spans="1:21">
      <c r="A11" s="14" t="s">
        <v>21</v>
      </c>
      <c r="B11" s="57">
        <f>58264+445</f>
        <v>58709</v>
      </c>
      <c r="C11" s="57">
        <v>50461</v>
      </c>
      <c r="D11" s="57">
        <v>29562</v>
      </c>
      <c r="E11" s="57">
        <v>12746</v>
      </c>
      <c r="F11" s="57">
        <v>139360</v>
      </c>
      <c r="G11" s="57">
        <v>634270</v>
      </c>
      <c r="H11" s="57">
        <v>6832</v>
      </c>
      <c r="I11" s="57">
        <v>13828</v>
      </c>
      <c r="J11" s="57">
        <v>144909</v>
      </c>
      <c r="K11" s="57">
        <v>6309</v>
      </c>
      <c r="L11" s="57">
        <v>42947</v>
      </c>
      <c r="M11" s="58">
        <v>16473</v>
      </c>
      <c r="N11" s="57">
        <v>208462</v>
      </c>
      <c r="O11" s="57">
        <v>89602</v>
      </c>
      <c r="P11" s="57">
        <v>57488</v>
      </c>
      <c r="Q11" s="57">
        <v>23212</v>
      </c>
      <c r="R11" s="57">
        <v>35975</v>
      </c>
      <c r="S11" s="60">
        <f t="shared" si="1"/>
        <v>1571145</v>
      </c>
      <c r="T11" s="50">
        <f t="shared" si="0"/>
        <v>10.986918102846943</v>
      </c>
      <c r="U11" s="6"/>
    </row>
    <row r="12" spans="1:21">
      <c r="A12" s="16" t="s">
        <v>23</v>
      </c>
      <c r="B12" s="62">
        <f t="shared" ref="B12:R12" si="2">SUM(B5:B11)</f>
        <v>119563</v>
      </c>
      <c r="C12" s="62">
        <f t="shared" si="2"/>
        <v>114398</v>
      </c>
      <c r="D12" s="62">
        <f t="shared" si="2"/>
        <v>55358</v>
      </c>
      <c r="E12" s="62">
        <f>SUM(E5:E11)</f>
        <v>32367</v>
      </c>
      <c r="F12" s="62">
        <f t="shared" si="2"/>
        <v>262021</v>
      </c>
      <c r="G12" s="62">
        <f t="shared" si="2"/>
        <v>1249175</v>
      </c>
      <c r="H12" s="62">
        <f>SUM(H5:H11)</f>
        <v>14947</v>
      </c>
      <c r="I12" s="62">
        <f t="shared" si="2"/>
        <v>31770</v>
      </c>
      <c r="J12" s="62">
        <f>SUM(J5:J11)</f>
        <v>258328</v>
      </c>
      <c r="K12" s="62">
        <f t="shared" si="2"/>
        <v>14900</v>
      </c>
      <c r="L12" s="62">
        <f>SUM(L5:L11)</f>
        <v>84377</v>
      </c>
      <c r="M12" s="62">
        <f t="shared" si="2"/>
        <v>36822</v>
      </c>
      <c r="N12" s="62">
        <f t="shared" si="2"/>
        <v>535136</v>
      </c>
      <c r="O12" s="62">
        <f t="shared" si="2"/>
        <v>266230</v>
      </c>
      <c r="P12" s="62">
        <f t="shared" si="2"/>
        <v>103196</v>
      </c>
      <c r="Q12" s="62">
        <f t="shared" si="2"/>
        <v>40625</v>
      </c>
      <c r="R12" s="62">
        <f t="shared" si="2"/>
        <v>93193</v>
      </c>
      <c r="S12" s="60">
        <f t="shared" si="1"/>
        <v>3312406</v>
      </c>
      <c r="T12" s="51">
        <f t="shared" si="0"/>
        <v>23.163446687211451</v>
      </c>
      <c r="U12" s="6"/>
    </row>
    <row r="13" spans="1:21">
      <c r="A13" s="14" t="s">
        <v>24</v>
      </c>
      <c r="B13" s="57">
        <v>7504</v>
      </c>
      <c r="C13" s="57">
        <v>24895</v>
      </c>
      <c r="D13" s="57">
        <v>12512</v>
      </c>
      <c r="E13" s="57">
        <v>1214</v>
      </c>
      <c r="F13" s="57">
        <v>201374</v>
      </c>
      <c r="G13" s="57">
        <v>52760</v>
      </c>
      <c r="H13" s="57">
        <v>4107</v>
      </c>
      <c r="I13" s="57">
        <v>1291</v>
      </c>
      <c r="J13" s="57">
        <v>80890</v>
      </c>
      <c r="K13" s="57">
        <v>1622</v>
      </c>
      <c r="L13" s="57">
        <v>14296</v>
      </c>
      <c r="M13" s="58">
        <v>10858</v>
      </c>
      <c r="N13" s="57">
        <v>51455</v>
      </c>
      <c r="O13" s="57">
        <v>64743</v>
      </c>
      <c r="P13" s="57">
        <v>5418</v>
      </c>
      <c r="Q13" s="57">
        <v>2040</v>
      </c>
      <c r="R13" s="57">
        <v>7088</v>
      </c>
      <c r="S13" s="60">
        <f t="shared" si="1"/>
        <v>544067</v>
      </c>
      <c r="T13" s="50">
        <f t="shared" si="0"/>
        <v>3.8046262894014413</v>
      </c>
      <c r="U13" s="6"/>
    </row>
    <row r="14" spans="1:21">
      <c r="A14" s="14" t="s">
        <v>87</v>
      </c>
      <c r="B14" s="57">
        <v>239</v>
      </c>
      <c r="C14" s="57">
        <v>1802</v>
      </c>
      <c r="D14" s="57">
        <v>475</v>
      </c>
      <c r="E14" s="57">
        <v>22</v>
      </c>
      <c r="F14" s="57">
        <v>21323</v>
      </c>
      <c r="G14" s="57">
        <v>3309</v>
      </c>
      <c r="H14" s="57">
        <v>0</v>
      </c>
      <c r="I14" s="57">
        <v>35</v>
      </c>
      <c r="J14" s="57">
        <v>0</v>
      </c>
      <c r="K14" s="57">
        <v>225</v>
      </c>
      <c r="L14" s="57">
        <v>1000</v>
      </c>
      <c r="M14" s="58">
        <v>576</v>
      </c>
      <c r="N14" s="57">
        <v>9082</v>
      </c>
      <c r="O14" s="57">
        <v>3675</v>
      </c>
      <c r="P14" s="57">
        <v>116</v>
      </c>
      <c r="Q14" s="57">
        <v>93</v>
      </c>
      <c r="R14" s="57">
        <v>680</v>
      </c>
      <c r="S14" s="60">
        <f t="shared" si="1"/>
        <v>42652</v>
      </c>
      <c r="T14" s="50">
        <f t="shared" si="0"/>
        <v>0.29826275163821792</v>
      </c>
      <c r="U14" s="6"/>
    </row>
    <row r="15" spans="1:21">
      <c r="A15" s="14" t="s">
        <v>25</v>
      </c>
      <c r="B15" s="57">
        <v>11790</v>
      </c>
      <c r="C15" s="57">
        <v>41865</v>
      </c>
      <c r="D15" s="57">
        <v>22193</v>
      </c>
      <c r="E15" s="57">
        <v>2377</v>
      </c>
      <c r="F15" s="57">
        <v>366872</v>
      </c>
      <c r="G15" s="57">
        <v>70930</v>
      </c>
      <c r="H15" s="57">
        <v>6503</v>
      </c>
      <c r="I15" s="57">
        <v>3884</v>
      </c>
      <c r="J15" s="57">
        <v>104283</v>
      </c>
      <c r="K15" s="57">
        <v>3034</v>
      </c>
      <c r="L15" s="57">
        <v>31042</v>
      </c>
      <c r="M15" s="58">
        <v>21097</v>
      </c>
      <c r="N15" s="57">
        <v>82226</v>
      </c>
      <c r="O15" s="57">
        <v>87732</v>
      </c>
      <c r="P15" s="57">
        <v>0</v>
      </c>
      <c r="Q15" s="57">
        <v>5281</v>
      </c>
      <c r="R15" s="57">
        <v>10213</v>
      </c>
      <c r="S15" s="60">
        <f t="shared" si="1"/>
        <v>871322</v>
      </c>
      <c r="T15" s="50">
        <f t="shared" si="0"/>
        <v>6.093099908161757</v>
      </c>
      <c r="U15" s="6"/>
    </row>
    <row r="16" spans="1:21">
      <c r="A16" s="14" t="s">
        <v>30</v>
      </c>
      <c r="B16" s="57">
        <f>21187+27</f>
        <v>21214</v>
      </c>
      <c r="C16" s="57">
        <v>37553</v>
      </c>
      <c r="D16" s="57">
        <v>13489</v>
      </c>
      <c r="E16" s="57">
        <v>6755</v>
      </c>
      <c r="F16" s="57">
        <f>27016+45548</f>
        <v>72564</v>
      </c>
      <c r="G16" s="57">
        <v>243715</v>
      </c>
      <c r="H16" s="57">
        <v>6644</v>
      </c>
      <c r="I16" s="57">
        <v>6530</v>
      </c>
      <c r="J16" s="57">
        <v>98993</v>
      </c>
      <c r="K16" s="57">
        <v>2313</v>
      </c>
      <c r="L16" s="57">
        <v>34806</v>
      </c>
      <c r="M16" s="58">
        <v>13186</v>
      </c>
      <c r="N16" s="57">
        <v>195137</v>
      </c>
      <c r="O16" s="57">
        <v>86921</v>
      </c>
      <c r="P16" s="57">
        <v>7031</v>
      </c>
      <c r="Q16" s="57">
        <v>3989</v>
      </c>
      <c r="R16" s="57">
        <v>14042</v>
      </c>
      <c r="S16" s="60">
        <f t="shared" si="1"/>
        <v>864882</v>
      </c>
      <c r="T16" s="50">
        <f t="shared" si="0"/>
        <v>6.0480653934719397</v>
      </c>
      <c r="U16" s="6"/>
    </row>
    <row r="17" spans="1:24">
      <c r="A17" s="16" t="s">
        <v>26</v>
      </c>
      <c r="B17" s="62">
        <f>SUM(B13:B16)</f>
        <v>40747</v>
      </c>
      <c r="C17" s="62">
        <f t="shared" ref="C17:R17" si="3">+C15+C14+C13+C16</f>
        <v>106115</v>
      </c>
      <c r="D17" s="62">
        <f t="shared" si="3"/>
        <v>48669</v>
      </c>
      <c r="E17" s="62">
        <f t="shared" si="3"/>
        <v>10368</v>
      </c>
      <c r="F17" s="62">
        <f t="shared" si="3"/>
        <v>662133</v>
      </c>
      <c r="G17" s="62">
        <f t="shared" si="3"/>
        <v>370714</v>
      </c>
      <c r="H17" s="62">
        <f t="shared" si="3"/>
        <v>17254</v>
      </c>
      <c r="I17" s="62">
        <f t="shared" si="3"/>
        <v>11740</v>
      </c>
      <c r="J17" s="62">
        <f>SUM(J13:J16)</f>
        <v>284166</v>
      </c>
      <c r="K17" s="62">
        <f t="shared" si="3"/>
        <v>7194</v>
      </c>
      <c r="L17" s="62">
        <f>+L15+L14+L13+L16</f>
        <v>81144</v>
      </c>
      <c r="M17" s="62">
        <f t="shared" si="3"/>
        <v>45717</v>
      </c>
      <c r="N17" s="62">
        <f t="shared" si="3"/>
        <v>337900</v>
      </c>
      <c r="O17" s="62">
        <f t="shared" si="3"/>
        <v>243071</v>
      </c>
      <c r="P17" s="62">
        <f t="shared" si="3"/>
        <v>12565</v>
      </c>
      <c r="Q17" s="62">
        <f t="shared" si="3"/>
        <v>11403</v>
      </c>
      <c r="R17" s="62">
        <f t="shared" si="3"/>
        <v>32023</v>
      </c>
      <c r="S17" s="60">
        <f t="shared" si="1"/>
        <v>2322923</v>
      </c>
      <c r="T17" s="51">
        <f t="shared" si="0"/>
        <v>16.244054342673355</v>
      </c>
      <c r="U17" s="6"/>
    </row>
    <row r="18" spans="1:24">
      <c r="A18" s="16" t="s">
        <v>27</v>
      </c>
      <c r="B18" s="62">
        <f>253+19984+264+247</f>
        <v>20748</v>
      </c>
      <c r="C18" s="62">
        <v>24460</v>
      </c>
      <c r="D18" s="62">
        <v>12372</v>
      </c>
      <c r="E18" s="62">
        <v>8289</v>
      </c>
      <c r="F18" s="62">
        <v>84382</v>
      </c>
      <c r="G18" s="62">
        <v>246589</v>
      </c>
      <c r="H18" s="62">
        <v>3903</v>
      </c>
      <c r="I18" s="62">
        <v>12239</v>
      </c>
      <c r="J18" s="62">
        <v>134143</v>
      </c>
      <c r="K18" s="62">
        <v>2370</v>
      </c>
      <c r="L18" s="62">
        <v>23806</v>
      </c>
      <c r="M18" s="63">
        <v>8752</v>
      </c>
      <c r="N18" s="62">
        <v>287396</v>
      </c>
      <c r="O18" s="62">
        <v>62398</v>
      </c>
      <c r="P18" s="62">
        <v>11734</v>
      </c>
      <c r="Q18" s="62">
        <v>6815</v>
      </c>
      <c r="R18" s="62">
        <v>13884</v>
      </c>
      <c r="S18" s="60">
        <f t="shared" si="1"/>
        <v>964280</v>
      </c>
      <c r="T18" s="51">
        <f t="shared" si="0"/>
        <v>6.7431493517232655</v>
      </c>
      <c r="U18" s="6"/>
    </row>
    <row r="19" spans="1:24">
      <c r="A19" s="16" t="s">
        <v>28</v>
      </c>
      <c r="B19" s="62">
        <f>33+3766</f>
        <v>3799</v>
      </c>
      <c r="C19" s="62">
        <v>18024</v>
      </c>
      <c r="D19" s="62">
        <v>3065</v>
      </c>
      <c r="E19" s="62">
        <v>8903</v>
      </c>
      <c r="F19" s="62">
        <v>16219</v>
      </c>
      <c r="G19" s="62">
        <v>40857</v>
      </c>
      <c r="H19" s="62">
        <v>1306</v>
      </c>
      <c r="I19" s="62">
        <v>1808</v>
      </c>
      <c r="J19" s="62">
        <v>16971</v>
      </c>
      <c r="K19" s="62">
        <v>1431</v>
      </c>
      <c r="L19" s="62">
        <v>14263</v>
      </c>
      <c r="M19" s="63">
        <v>4605</v>
      </c>
      <c r="N19" s="62">
        <v>46139</v>
      </c>
      <c r="O19" s="62">
        <v>13445</v>
      </c>
      <c r="P19" s="62">
        <v>75506</v>
      </c>
      <c r="Q19" s="62">
        <v>11750</v>
      </c>
      <c r="R19" s="62">
        <v>7497</v>
      </c>
      <c r="S19" s="60">
        <f t="shared" si="1"/>
        <v>285588</v>
      </c>
      <c r="T19" s="51">
        <f t="shared" si="0"/>
        <v>1.9970989101297798</v>
      </c>
      <c r="U19" s="6"/>
      <c r="V19" s="38"/>
      <c r="W19" s="38"/>
    </row>
    <row r="20" spans="1:24" s="38" customFormat="1">
      <c r="A20" s="39" t="s">
        <v>75</v>
      </c>
      <c r="B20" s="57">
        <v>7</v>
      </c>
      <c r="C20" s="57">
        <v>10</v>
      </c>
      <c r="D20" s="57">
        <v>0</v>
      </c>
      <c r="E20" s="57">
        <v>0</v>
      </c>
      <c r="F20" s="57">
        <v>0</v>
      </c>
      <c r="G20" s="57">
        <v>0</v>
      </c>
      <c r="H20" s="57">
        <v>0</v>
      </c>
      <c r="I20" s="57">
        <v>0</v>
      </c>
      <c r="J20" s="57">
        <v>0</v>
      </c>
      <c r="K20" s="57">
        <v>34</v>
      </c>
      <c r="L20" s="57">
        <v>5</v>
      </c>
      <c r="M20" s="58">
        <v>0</v>
      </c>
      <c r="N20" s="57">
        <v>0</v>
      </c>
      <c r="O20" s="57">
        <v>0</v>
      </c>
      <c r="P20" s="57">
        <v>0</v>
      </c>
      <c r="Q20" s="57">
        <v>0</v>
      </c>
      <c r="R20" s="57">
        <v>0</v>
      </c>
      <c r="S20" s="64">
        <f t="shared" si="1"/>
        <v>56</v>
      </c>
      <c r="T20" s="52">
        <f t="shared" si="0"/>
        <v>3.9160447556363598E-4</v>
      </c>
      <c r="U20" s="27"/>
      <c r="V20" s="2"/>
      <c r="W20" s="2"/>
      <c r="X20" s="2"/>
    </row>
    <row r="21" spans="1:24">
      <c r="A21" s="14" t="s">
        <v>29</v>
      </c>
      <c r="B21" s="57">
        <v>27</v>
      </c>
      <c r="C21" s="57">
        <v>51</v>
      </c>
      <c r="D21" s="57">
        <v>0</v>
      </c>
      <c r="E21" s="57">
        <v>2</v>
      </c>
      <c r="F21" s="57">
        <v>138</v>
      </c>
      <c r="G21" s="57">
        <v>0</v>
      </c>
      <c r="H21" s="57">
        <v>2</v>
      </c>
      <c r="I21" s="57">
        <v>0</v>
      </c>
      <c r="J21" s="57">
        <v>0</v>
      </c>
      <c r="K21" s="57">
        <v>76</v>
      </c>
      <c r="L21" s="57">
        <v>7</v>
      </c>
      <c r="M21" s="58">
        <v>0</v>
      </c>
      <c r="N21" s="57">
        <v>70</v>
      </c>
      <c r="O21" s="57">
        <v>0</v>
      </c>
      <c r="P21" s="57">
        <v>0</v>
      </c>
      <c r="Q21" s="57">
        <v>2</v>
      </c>
      <c r="R21" s="57">
        <v>356</v>
      </c>
      <c r="S21" s="60">
        <f t="shared" si="1"/>
        <v>731</v>
      </c>
      <c r="T21" s="50">
        <f t="shared" si="0"/>
        <v>5.1118369935181764E-3</v>
      </c>
      <c r="U21" s="6"/>
    </row>
    <row r="22" spans="1:24">
      <c r="A22" s="14" t="s">
        <v>22</v>
      </c>
      <c r="B22" s="57">
        <v>0</v>
      </c>
      <c r="C22" s="57">
        <v>0</v>
      </c>
      <c r="D22" s="57">
        <v>0</v>
      </c>
      <c r="E22" s="57">
        <v>0</v>
      </c>
      <c r="F22" s="57">
        <v>30</v>
      </c>
      <c r="G22" s="57">
        <v>0</v>
      </c>
      <c r="H22" s="57">
        <v>0</v>
      </c>
      <c r="I22" s="57">
        <v>0</v>
      </c>
      <c r="J22" s="57">
        <v>0</v>
      </c>
      <c r="K22" s="57">
        <v>0</v>
      </c>
      <c r="L22" s="57">
        <v>0</v>
      </c>
      <c r="M22" s="58">
        <v>0</v>
      </c>
      <c r="N22" s="57">
        <v>0</v>
      </c>
      <c r="O22" s="57">
        <v>0</v>
      </c>
      <c r="P22" s="57">
        <v>0</v>
      </c>
      <c r="Q22" s="57">
        <v>0</v>
      </c>
      <c r="R22" s="57">
        <v>0</v>
      </c>
      <c r="S22" s="60">
        <f t="shared" si="1"/>
        <v>30</v>
      </c>
      <c r="T22" s="50">
        <f t="shared" si="0"/>
        <v>2.097881119090907E-4</v>
      </c>
      <c r="U22" s="6"/>
    </row>
    <row r="23" spans="1:24">
      <c r="A23" s="16" t="s">
        <v>31</v>
      </c>
      <c r="B23" s="62">
        <f t="shared" ref="B23:R23" si="4">SUM(B20:B22)</f>
        <v>34</v>
      </c>
      <c r="C23" s="62">
        <f t="shared" si="4"/>
        <v>61</v>
      </c>
      <c r="D23" s="62">
        <f t="shared" si="4"/>
        <v>0</v>
      </c>
      <c r="E23" s="62">
        <f t="shared" si="4"/>
        <v>2</v>
      </c>
      <c r="F23" s="62">
        <f t="shared" si="4"/>
        <v>168</v>
      </c>
      <c r="G23" s="62">
        <f t="shared" si="4"/>
        <v>0</v>
      </c>
      <c r="H23" s="62">
        <f t="shared" si="4"/>
        <v>2</v>
      </c>
      <c r="I23" s="62">
        <f t="shared" si="4"/>
        <v>0</v>
      </c>
      <c r="J23" s="62">
        <f t="shared" si="4"/>
        <v>0</v>
      </c>
      <c r="K23" s="62">
        <f t="shared" si="4"/>
        <v>110</v>
      </c>
      <c r="L23" s="62">
        <f t="shared" si="4"/>
        <v>12</v>
      </c>
      <c r="M23" s="62">
        <f t="shared" si="4"/>
        <v>0</v>
      </c>
      <c r="N23" s="62">
        <f t="shared" si="4"/>
        <v>70</v>
      </c>
      <c r="O23" s="62">
        <f t="shared" si="4"/>
        <v>0</v>
      </c>
      <c r="P23" s="62">
        <f t="shared" si="4"/>
        <v>0</v>
      </c>
      <c r="Q23" s="62">
        <f t="shared" si="4"/>
        <v>2</v>
      </c>
      <c r="R23" s="62">
        <f t="shared" si="4"/>
        <v>356</v>
      </c>
      <c r="S23" s="60">
        <f t="shared" si="1"/>
        <v>817</v>
      </c>
      <c r="T23" s="51">
        <f t="shared" si="0"/>
        <v>5.7132295809909032E-3</v>
      </c>
      <c r="U23" s="9"/>
      <c r="V23" s="3"/>
      <c r="W23" s="3"/>
    </row>
    <row r="24" spans="1:24" s="3" customFormat="1">
      <c r="A24" s="20" t="s">
        <v>32</v>
      </c>
      <c r="B24" s="57">
        <v>9130</v>
      </c>
      <c r="C24" s="57">
        <v>18930</v>
      </c>
      <c r="D24" s="57">
        <v>3481</v>
      </c>
      <c r="E24" s="57">
        <v>1712</v>
      </c>
      <c r="F24" s="57">
        <v>117865</v>
      </c>
      <c r="G24" s="57">
        <v>62678</v>
      </c>
      <c r="H24" s="57">
        <v>800</v>
      </c>
      <c r="I24" s="57">
        <v>3641</v>
      </c>
      <c r="J24" s="57">
        <v>58023</v>
      </c>
      <c r="K24" s="57">
        <v>793</v>
      </c>
      <c r="L24" s="57">
        <v>4443</v>
      </c>
      <c r="M24" s="58">
        <v>6612</v>
      </c>
      <c r="N24" s="57">
        <v>25149</v>
      </c>
      <c r="O24" s="57">
        <v>46398</v>
      </c>
      <c r="P24" s="57">
        <v>4836</v>
      </c>
      <c r="Q24" s="57">
        <v>110</v>
      </c>
      <c r="R24" s="57">
        <v>8555</v>
      </c>
      <c r="S24" s="60">
        <f t="shared" si="1"/>
        <v>373156</v>
      </c>
      <c r="T24" s="50">
        <f t="shared" si="0"/>
        <v>2.6094564229182882</v>
      </c>
      <c r="U24" s="21"/>
      <c r="X24" s="2"/>
    </row>
    <row r="25" spans="1:24" s="3" customFormat="1">
      <c r="A25" s="20" t="s">
        <v>33</v>
      </c>
      <c r="B25" s="57">
        <v>19948</v>
      </c>
      <c r="C25" s="57">
        <v>50949</v>
      </c>
      <c r="D25" s="57">
        <v>14545</v>
      </c>
      <c r="E25" s="57">
        <v>4598</v>
      </c>
      <c r="F25" s="57">
        <v>416578</v>
      </c>
      <c r="G25" s="57">
        <v>135456</v>
      </c>
      <c r="H25" s="57">
        <v>3528</v>
      </c>
      <c r="I25" s="57">
        <v>8328</v>
      </c>
      <c r="J25" s="57">
        <v>133743</v>
      </c>
      <c r="K25" s="57">
        <v>4053</v>
      </c>
      <c r="L25" s="57">
        <v>40727</v>
      </c>
      <c r="M25" s="58">
        <v>30112</v>
      </c>
      <c r="N25" s="57">
        <v>69110</v>
      </c>
      <c r="O25" s="57">
        <v>101503</v>
      </c>
      <c r="P25" s="57">
        <v>15937</v>
      </c>
      <c r="Q25" s="57">
        <v>3503</v>
      </c>
      <c r="R25" s="57">
        <v>13873</v>
      </c>
      <c r="S25" s="60">
        <f t="shared" si="1"/>
        <v>1066491</v>
      </c>
      <c r="T25" s="50">
        <f t="shared" si="0"/>
        <v>7.457904441934601</v>
      </c>
      <c r="U25" s="21"/>
      <c r="V25" s="2"/>
      <c r="W25" s="2"/>
      <c r="X25" s="2"/>
    </row>
    <row r="26" spans="1:24">
      <c r="A26" s="16" t="s">
        <v>34</v>
      </c>
      <c r="B26" s="62">
        <f>SUM(B24:B25)</f>
        <v>29078</v>
      </c>
      <c r="C26" s="62">
        <f t="shared" ref="C26:R26" si="5">+C25+C24</f>
        <v>69879</v>
      </c>
      <c r="D26" s="62">
        <f t="shared" si="5"/>
        <v>18026</v>
      </c>
      <c r="E26" s="62">
        <f t="shared" si="5"/>
        <v>6310</v>
      </c>
      <c r="F26" s="62">
        <f t="shared" si="5"/>
        <v>534443</v>
      </c>
      <c r="G26" s="62">
        <f t="shared" si="5"/>
        <v>198134</v>
      </c>
      <c r="H26" s="62">
        <f t="shared" si="5"/>
        <v>4328</v>
      </c>
      <c r="I26" s="62">
        <f t="shared" si="5"/>
        <v>11969</v>
      </c>
      <c r="J26" s="62">
        <f t="shared" si="5"/>
        <v>191766</v>
      </c>
      <c r="K26" s="62">
        <f t="shared" si="5"/>
        <v>4846</v>
      </c>
      <c r="L26" s="62">
        <f>+L25+L24</f>
        <v>45170</v>
      </c>
      <c r="M26" s="62">
        <f t="shared" si="5"/>
        <v>36724</v>
      </c>
      <c r="N26" s="62">
        <f t="shared" si="5"/>
        <v>94259</v>
      </c>
      <c r="O26" s="62">
        <f t="shared" si="5"/>
        <v>147901</v>
      </c>
      <c r="P26" s="62">
        <f t="shared" si="5"/>
        <v>20773</v>
      </c>
      <c r="Q26" s="62">
        <f t="shared" si="5"/>
        <v>3613</v>
      </c>
      <c r="R26" s="62">
        <f t="shared" si="5"/>
        <v>22428</v>
      </c>
      <c r="S26" s="60">
        <f t="shared" si="1"/>
        <v>1439647</v>
      </c>
      <c r="T26" s="51">
        <f t="shared" si="0"/>
        <v>10.067360864852889</v>
      </c>
      <c r="U26" s="6"/>
    </row>
    <row r="27" spans="1:24">
      <c r="A27" s="14" t="s">
        <v>36</v>
      </c>
      <c r="B27" s="57">
        <f>1153+544+681+59+3</f>
        <v>2440</v>
      </c>
      <c r="C27" s="57">
        <v>3266</v>
      </c>
      <c r="D27" s="57">
        <v>1779</v>
      </c>
      <c r="E27" s="57">
        <v>1866</v>
      </c>
      <c r="F27" s="57">
        <v>0</v>
      </c>
      <c r="G27" s="57">
        <v>20199</v>
      </c>
      <c r="H27" s="57">
        <v>636</v>
      </c>
      <c r="I27" s="57">
        <v>1331</v>
      </c>
      <c r="J27" s="57">
        <v>9875</v>
      </c>
      <c r="K27" s="57">
        <v>284</v>
      </c>
      <c r="L27" s="57">
        <v>1367</v>
      </c>
      <c r="M27" s="58">
        <v>1517</v>
      </c>
      <c r="N27" s="57">
        <v>53901</v>
      </c>
      <c r="O27" s="57">
        <v>8407</v>
      </c>
      <c r="P27" s="57">
        <v>3308</v>
      </c>
      <c r="Q27" s="57">
        <v>1250</v>
      </c>
      <c r="R27" s="57">
        <v>3972</v>
      </c>
      <c r="S27" s="60">
        <f t="shared" si="1"/>
        <v>115398</v>
      </c>
      <c r="T27" s="50">
        <f t="shared" si="0"/>
        <v>0.80697095126950824</v>
      </c>
      <c r="U27" s="6"/>
    </row>
    <row r="28" spans="1:24">
      <c r="A28" s="14" t="s">
        <v>90</v>
      </c>
      <c r="B28" s="57">
        <v>47</v>
      </c>
      <c r="C28" s="57">
        <v>382</v>
      </c>
      <c r="D28" s="57">
        <v>1</v>
      </c>
      <c r="E28" s="57">
        <v>0</v>
      </c>
      <c r="F28" s="57">
        <v>1985</v>
      </c>
      <c r="G28" s="57">
        <v>0</v>
      </c>
      <c r="H28" s="57">
        <v>0</v>
      </c>
      <c r="I28" s="57">
        <v>0</v>
      </c>
      <c r="J28" s="57">
        <v>1853</v>
      </c>
      <c r="K28" s="57">
        <v>199</v>
      </c>
      <c r="L28" s="57">
        <v>102</v>
      </c>
      <c r="M28" s="58">
        <v>0</v>
      </c>
      <c r="N28" s="57">
        <v>3515</v>
      </c>
      <c r="O28" s="57">
        <v>1849</v>
      </c>
      <c r="P28" s="57">
        <v>0</v>
      </c>
      <c r="Q28" s="57">
        <v>0</v>
      </c>
      <c r="R28" s="57">
        <v>286</v>
      </c>
      <c r="S28" s="60">
        <f t="shared" si="1"/>
        <v>10219</v>
      </c>
      <c r="T28" s="50">
        <f t="shared" si="0"/>
        <v>7.1460823853299923E-2</v>
      </c>
      <c r="U28" s="6"/>
    </row>
    <row r="29" spans="1:24">
      <c r="A29" s="14" t="s">
        <v>37</v>
      </c>
      <c r="B29" s="57">
        <v>618</v>
      </c>
      <c r="C29" s="57">
        <v>1656</v>
      </c>
      <c r="D29" s="57">
        <v>1</v>
      </c>
      <c r="E29" s="57">
        <v>316</v>
      </c>
      <c r="F29" s="57">
        <v>5390</v>
      </c>
      <c r="G29" s="57">
        <v>3002</v>
      </c>
      <c r="H29" s="57">
        <v>36</v>
      </c>
      <c r="I29" s="57">
        <v>443</v>
      </c>
      <c r="J29" s="57">
        <v>4004</v>
      </c>
      <c r="K29" s="57">
        <v>174</v>
      </c>
      <c r="L29" s="57">
        <v>925</v>
      </c>
      <c r="M29" s="58">
        <v>453</v>
      </c>
      <c r="N29" s="57">
        <v>12670</v>
      </c>
      <c r="O29" s="57">
        <v>6130</v>
      </c>
      <c r="P29" s="57">
        <v>1546</v>
      </c>
      <c r="Q29" s="57">
        <v>1003</v>
      </c>
      <c r="R29" s="57">
        <v>689</v>
      </c>
      <c r="S29" s="60">
        <f t="shared" si="1"/>
        <v>39056</v>
      </c>
      <c r="T29" s="50">
        <f t="shared" si="0"/>
        <v>0.27311614995738154</v>
      </c>
      <c r="U29" s="6"/>
    </row>
    <row r="30" spans="1:24">
      <c r="A30" s="14" t="s">
        <v>38</v>
      </c>
      <c r="B30" s="57">
        <f>6341+4122</f>
        <v>10463</v>
      </c>
      <c r="C30" s="57">
        <v>7730</v>
      </c>
      <c r="D30" s="57">
        <v>4667</v>
      </c>
      <c r="E30" s="57">
        <v>1744</v>
      </c>
      <c r="F30" s="57">
        <v>0</v>
      </c>
      <c r="G30" s="57">
        <v>67262</v>
      </c>
      <c r="H30" s="57">
        <v>76</v>
      </c>
      <c r="I30" s="57">
        <v>2678</v>
      </c>
      <c r="J30" s="57">
        <v>10531</v>
      </c>
      <c r="K30" s="57">
        <v>634</v>
      </c>
      <c r="L30" s="57">
        <v>9553</v>
      </c>
      <c r="M30" s="58">
        <v>2766</v>
      </c>
      <c r="N30" s="57">
        <v>39092</v>
      </c>
      <c r="O30" s="57">
        <v>18558</v>
      </c>
      <c r="P30" s="57">
        <v>5836</v>
      </c>
      <c r="Q30" s="57">
        <v>4278</v>
      </c>
      <c r="R30" s="57">
        <v>7878</v>
      </c>
      <c r="S30" s="60">
        <f t="shared" si="1"/>
        <v>193746</v>
      </c>
      <c r="T30" s="50">
        <f t="shared" si="0"/>
        <v>1.3548535843312897</v>
      </c>
      <c r="U30" s="6"/>
    </row>
    <row r="31" spans="1:24">
      <c r="A31" s="14" t="s">
        <v>39</v>
      </c>
      <c r="B31" s="57">
        <f>2838+1091</f>
        <v>3929</v>
      </c>
      <c r="C31" s="57">
        <v>1856</v>
      </c>
      <c r="D31" s="57">
        <v>1759</v>
      </c>
      <c r="E31" s="57">
        <v>998</v>
      </c>
      <c r="F31" s="57">
        <v>0</v>
      </c>
      <c r="G31" s="57">
        <v>43367</v>
      </c>
      <c r="H31" s="57">
        <v>201</v>
      </c>
      <c r="I31" s="57">
        <v>661</v>
      </c>
      <c r="J31" s="57">
        <v>3755</v>
      </c>
      <c r="K31" s="57">
        <v>147</v>
      </c>
      <c r="L31" s="57">
        <v>4876</v>
      </c>
      <c r="M31" s="58">
        <v>2126</v>
      </c>
      <c r="N31" s="57">
        <v>16092</v>
      </c>
      <c r="O31" s="57">
        <v>9770</v>
      </c>
      <c r="P31" s="57">
        <v>4434</v>
      </c>
      <c r="Q31" s="57">
        <v>5004</v>
      </c>
      <c r="R31" s="57">
        <v>3077</v>
      </c>
      <c r="S31" s="60">
        <f t="shared" si="1"/>
        <v>102052</v>
      </c>
      <c r="T31" s="50">
        <f t="shared" si="0"/>
        <v>0.71364321321821744</v>
      </c>
      <c r="U31" s="6"/>
    </row>
    <row r="32" spans="1:24">
      <c r="A32" s="14" t="s">
        <v>91</v>
      </c>
      <c r="B32" s="57">
        <f>1635+66+4371+553+1027</f>
        <v>7652</v>
      </c>
      <c r="C32" s="57">
        <f>18287</f>
        <v>18287</v>
      </c>
      <c r="D32" s="57">
        <v>9914</v>
      </c>
      <c r="E32" s="57">
        <v>6900</v>
      </c>
      <c r="F32" s="57">
        <v>71492</v>
      </c>
      <c r="G32" s="57">
        <v>68019</v>
      </c>
      <c r="H32" s="57">
        <v>7194</v>
      </c>
      <c r="I32" s="57">
        <v>10347</v>
      </c>
      <c r="J32" s="57">
        <v>62715</v>
      </c>
      <c r="K32" s="57">
        <v>1060</v>
      </c>
      <c r="L32" s="57">
        <v>12603</v>
      </c>
      <c r="M32" s="58">
        <v>12975</v>
      </c>
      <c r="N32" s="57">
        <v>151156</v>
      </c>
      <c r="O32" s="57">
        <v>62403</v>
      </c>
      <c r="P32" s="57">
        <v>9483</v>
      </c>
      <c r="Q32" s="57">
        <v>6365</v>
      </c>
      <c r="R32" s="57">
        <v>6381</v>
      </c>
      <c r="S32" s="60">
        <f t="shared" si="1"/>
        <v>524946</v>
      </c>
      <c r="T32" s="50">
        <f t="shared" si="0"/>
        <v>3.6709143398076507</v>
      </c>
      <c r="U32" s="6"/>
    </row>
    <row r="33" spans="1:21">
      <c r="A33" s="14" t="s">
        <v>41</v>
      </c>
      <c r="B33" s="57">
        <v>538</v>
      </c>
      <c r="C33" s="57">
        <v>556</v>
      </c>
      <c r="D33" s="57">
        <v>165</v>
      </c>
      <c r="E33" s="57">
        <v>728</v>
      </c>
      <c r="F33" s="57">
        <v>0</v>
      </c>
      <c r="G33" s="57">
        <v>7440</v>
      </c>
      <c r="H33" s="57">
        <v>34</v>
      </c>
      <c r="I33" s="57">
        <v>169</v>
      </c>
      <c r="J33" s="57">
        <v>3087</v>
      </c>
      <c r="K33" s="57">
        <v>98</v>
      </c>
      <c r="L33" s="57">
        <v>629</v>
      </c>
      <c r="M33" s="58">
        <v>0</v>
      </c>
      <c r="N33" s="57">
        <v>2679</v>
      </c>
      <c r="O33" s="57">
        <v>2210</v>
      </c>
      <c r="P33" s="57">
        <v>5065</v>
      </c>
      <c r="Q33" s="57">
        <v>2247</v>
      </c>
      <c r="R33" s="57">
        <v>4987</v>
      </c>
      <c r="S33" s="60">
        <f t="shared" si="1"/>
        <v>30632</v>
      </c>
      <c r="T33" s="50">
        <f t="shared" si="0"/>
        <v>0.21420764813330889</v>
      </c>
      <c r="U33" s="6"/>
    </row>
    <row r="34" spans="1:21">
      <c r="A34" s="14" t="s">
        <v>42</v>
      </c>
      <c r="B34" s="57">
        <f>4150+611+3180+213</f>
        <v>8154</v>
      </c>
      <c r="C34" s="57">
        <v>6962</v>
      </c>
      <c r="D34" s="57">
        <v>10889</v>
      </c>
      <c r="E34" s="57">
        <v>1111</v>
      </c>
      <c r="F34" s="57">
        <v>0</v>
      </c>
      <c r="G34" s="57">
        <v>38165</v>
      </c>
      <c r="H34" s="57">
        <v>5364</v>
      </c>
      <c r="I34" s="57">
        <v>1341</v>
      </c>
      <c r="J34" s="57">
        <v>31082</v>
      </c>
      <c r="K34" s="57">
        <v>669</v>
      </c>
      <c r="L34" s="57">
        <v>10889</v>
      </c>
      <c r="M34" s="58">
        <v>423</v>
      </c>
      <c r="N34" s="57">
        <v>40343</v>
      </c>
      <c r="O34" s="57">
        <v>7675</v>
      </c>
      <c r="P34" s="57">
        <v>2731</v>
      </c>
      <c r="Q34" s="57">
        <v>3242</v>
      </c>
      <c r="R34" s="57">
        <v>8231</v>
      </c>
      <c r="S34" s="60">
        <f t="shared" si="1"/>
        <v>177271</v>
      </c>
      <c r="T34" s="50">
        <f t="shared" si="0"/>
        <v>1.2396449462078807</v>
      </c>
      <c r="U34" s="6"/>
    </row>
    <row r="35" spans="1:21">
      <c r="A35" s="14" t="s">
        <v>43</v>
      </c>
      <c r="B35" s="57">
        <f>482+2557+1699+1910+2168</f>
        <v>8816</v>
      </c>
      <c r="C35" s="57">
        <v>17704</v>
      </c>
      <c r="D35" s="57">
        <v>16762</v>
      </c>
      <c r="E35" s="57">
        <v>14759</v>
      </c>
      <c r="F35" s="57">
        <v>88662</v>
      </c>
      <c r="G35" s="57">
        <v>81086</v>
      </c>
      <c r="H35" s="57">
        <v>10026</v>
      </c>
      <c r="I35" s="57">
        <v>12684</v>
      </c>
      <c r="J35" s="57">
        <v>85274</v>
      </c>
      <c r="K35" s="57">
        <v>927</v>
      </c>
      <c r="L35" s="57">
        <v>24059</v>
      </c>
      <c r="M35" s="58">
        <v>8530</v>
      </c>
      <c r="N35" s="57">
        <v>101985</v>
      </c>
      <c r="O35" s="57">
        <v>66299</v>
      </c>
      <c r="P35" s="57">
        <v>23077</v>
      </c>
      <c r="Q35" s="57">
        <v>17980</v>
      </c>
      <c r="R35" s="57">
        <v>10307</v>
      </c>
      <c r="S35" s="60">
        <f t="shared" si="1"/>
        <v>588937</v>
      </c>
      <c r="T35" s="50">
        <f t="shared" si="0"/>
        <v>4.1183993754468053</v>
      </c>
      <c r="U35" s="9"/>
    </row>
    <row r="36" spans="1:21">
      <c r="A36" s="16" t="s">
        <v>44</v>
      </c>
      <c r="B36" s="62">
        <f t="shared" ref="B36:R36" si="6">SUM(B27:B35)</f>
        <v>42657</v>
      </c>
      <c r="C36" s="62">
        <f t="shared" si="6"/>
        <v>58399</v>
      </c>
      <c r="D36" s="62">
        <f t="shared" si="6"/>
        <v>45937</v>
      </c>
      <c r="E36" s="62">
        <f t="shared" si="6"/>
        <v>28422</v>
      </c>
      <c r="F36" s="62">
        <f t="shared" si="6"/>
        <v>167529</v>
      </c>
      <c r="G36" s="62">
        <f t="shared" si="6"/>
        <v>328540</v>
      </c>
      <c r="H36" s="62">
        <f t="shared" si="6"/>
        <v>23567</v>
      </c>
      <c r="I36" s="62">
        <f t="shared" si="6"/>
        <v>29654</v>
      </c>
      <c r="J36" s="62">
        <f t="shared" si="6"/>
        <v>212176</v>
      </c>
      <c r="K36" s="62">
        <f t="shared" si="6"/>
        <v>4192</v>
      </c>
      <c r="L36" s="62">
        <f t="shared" si="6"/>
        <v>65003</v>
      </c>
      <c r="M36" s="62">
        <f t="shared" si="6"/>
        <v>28790</v>
      </c>
      <c r="N36" s="62">
        <f t="shared" si="6"/>
        <v>421433</v>
      </c>
      <c r="O36" s="62">
        <f t="shared" si="6"/>
        <v>183301</v>
      </c>
      <c r="P36" s="62">
        <f t="shared" si="6"/>
        <v>55480</v>
      </c>
      <c r="Q36" s="62">
        <f t="shared" si="6"/>
        <v>41369</v>
      </c>
      <c r="R36" s="62">
        <f t="shared" si="6"/>
        <v>45808</v>
      </c>
      <c r="S36" s="60">
        <f t="shared" si="1"/>
        <v>1782257</v>
      </c>
      <c r="T36" s="51">
        <f t="shared" si="0"/>
        <v>12.463211032225342</v>
      </c>
      <c r="U36" s="6"/>
    </row>
    <row r="37" spans="1:21">
      <c r="A37" s="14" t="s">
        <v>45</v>
      </c>
      <c r="B37" s="57">
        <v>2591</v>
      </c>
      <c r="C37" s="57">
        <v>2610</v>
      </c>
      <c r="D37" s="57">
        <v>366</v>
      </c>
      <c r="E37" s="57">
        <v>122</v>
      </c>
      <c r="F37" s="57">
        <v>9208</v>
      </c>
      <c r="G37" s="57">
        <v>6096</v>
      </c>
      <c r="H37" s="57">
        <v>593</v>
      </c>
      <c r="I37" s="57">
        <v>97</v>
      </c>
      <c r="J37" s="57">
        <v>45419</v>
      </c>
      <c r="K37" s="57">
        <v>523</v>
      </c>
      <c r="L37" s="57">
        <v>1714</v>
      </c>
      <c r="M37" s="58">
        <v>888</v>
      </c>
      <c r="N37" s="66">
        <v>4997</v>
      </c>
      <c r="O37" s="57">
        <v>4036</v>
      </c>
      <c r="P37" s="57">
        <v>489</v>
      </c>
      <c r="Q37" s="57">
        <v>236</v>
      </c>
      <c r="R37" s="57">
        <v>3288</v>
      </c>
      <c r="S37" s="60">
        <f t="shared" si="1"/>
        <v>83273</v>
      </c>
      <c r="T37" s="50">
        <f t="shared" si="0"/>
        <v>0.5823228481001903</v>
      </c>
      <c r="U37" s="6"/>
    </row>
    <row r="38" spans="1:21">
      <c r="A38" s="14" t="s">
        <v>46</v>
      </c>
      <c r="B38" s="57">
        <v>29</v>
      </c>
      <c r="C38" s="57">
        <v>112</v>
      </c>
      <c r="D38" s="57">
        <v>6</v>
      </c>
      <c r="E38" s="57">
        <v>3</v>
      </c>
      <c r="F38" s="57">
        <v>0</v>
      </c>
      <c r="G38" s="57">
        <v>0</v>
      </c>
      <c r="H38" s="57">
        <v>0</v>
      </c>
      <c r="I38" s="57">
        <v>0</v>
      </c>
      <c r="J38" s="57">
        <v>344</v>
      </c>
      <c r="K38" s="57">
        <v>64</v>
      </c>
      <c r="L38" s="57">
        <v>27</v>
      </c>
      <c r="M38" s="58">
        <v>20</v>
      </c>
      <c r="N38" s="57">
        <v>0</v>
      </c>
      <c r="O38" s="57">
        <v>52</v>
      </c>
      <c r="P38" s="57">
        <v>0</v>
      </c>
      <c r="Q38" s="57">
        <v>8</v>
      </c>
      <c r="R38" s="57">
        <v>0</v>
      </c>
      <c r="S38" s="60">
        <f t="shared" si="1"/>
        <v>665</v>
      </c>
      <c r="T38" s="50">
        <f t="shared" si="0"/>
        <v>4.6503031473181774E-3</v>
      </c>
      <c r="U38" s="6"/>
    </row>
    <row r="39" spans="1:21">
      <c r="A39" s="14" t="s">
        <v>47</v>
      </c>
      <c r="B39" s="57">
        <f>15233+282</f>
        <v>15515</v>
      </c>
      <c r="C39" s="57">
        <v>16563</v>
      </c>
      <c r="D39" s="57">
        <v>2684</v>
      </c>
      <c r="E39" s="57">
        <v>230</v>
      </c>
      <c r="F39" s="57">
        <v>68196</v>
      </c>
      <c r="G39" s="57">
        <v>84324</v>
      </c>
      <c r="H39" s="57">
        <f>6366+38</f>
        <v>6404</v>
      </c>
      <c r="I39" s="57">
        <v>761</v>
      </c>
      <c r="J39" s="57">
        <v>402462</v>
      </c>
      <c r="K39" s="57">
        <v>1533</v>
      </c>
      <c r="L39" s="57">
        <v>9888</v>
      </c>
      <c r="M39" s="58">
        <v>12022</v>
      </c>
      <c r="N39" s="59">
        <v>48916</v>
      </c>
      <c r="O39" s="57">
        <v>54343</v>
      </c>
      <c r="P39" s="57">
        <v>7060</v>
      </c>
      <c r="Q39" s="57">
        <v>172</v>
      </c>
      <c r="R39" s="57">
        <v>10352</v>
      </c>
      <c r="S39" s="60">
        <f t="shared" si="1"/>
        <v>741425</v>
      </c>
      <c r="T39" s="50">
        <f t="shared" si="0"/>
        <v>5.1847383624065859</v>
      </c>
      <c r="U39" s="6"/>
    </row>
    <row r="40" spans="1:21">
      <c r="A40" s="14" t="s">
        <v>88</v>
      </c>
      <c r="B40" s="57">
        <f>720+2687</f>
        <v>3407</v>
      </c>
      <c r="C40" s="57">
        <v>2597</v>
      </c>
      <c r="D40" s="57">
        <v>57</v>
      </c>
      <c r="E40" s="57">
        <v>61</v>
      </c>
      <c r="F40" s="57">
        <v>10892</v>
      </c>
      <c r="G40" s="57">
        <v>13390</v>
      </c>
      <c r="H40" s="57">
        <v>967</v>
      </c>
      <c r="I40" s="57">
        <v>56</v>
      </c>
      <c r="J40" s="57">
        <v>49519</v>
      </c>
      <c r="K40" s="57">
        <v>447</v>
      </c>
      <c r="L40" s="57">
        <v>771</v>
      </c>
      <c r="M40" s="58">
        <v>289</v>
      </c>
      <c r="N40" s="57">
        <v>6380</v>
      </c>
      <c r="O40" s="57">
        <v>8493</v>
      </c>
      <c r="P40" s="57">
        <v>848</v>
      </c>
      <c r="Q40" s="57">
        <v>48</v>
      </c>
      <c r="R40" s="57">
        <v>3456</v>
      </c>
      <c r="S40" s="60">
        <f t="shared" si="1"/>
        <v>101678</v>
      </c>
      <c r="T40" s="50">
        <f t="shared" si="0"/>
        <v>0.7110278547564175</v>
      </c>
      <c r="U40" s="6"/>
    </row>
    <row r="41" spans="1:21">
      <c r="A41" s="14" t="s">
        <v>48</v>
      </c>
      <c r="B41" s="57">
        <v>0</v>
      </c>
      <c r="C41" s="57">
        <v>80</v>
      </c>
      <c r="D41" s="57">
        <v>0</v>
      </c>
      <c r="E41" s="57">
        <v>0</v>
      </c>
      <c r="F41" s="57">
        <v>34</v>
      </c>
      <c r="G41" s="57">
        <v>0</v>
      </c>
      <c r="H41" s="57">
        <v>8</v>
      </c>
      <c r="I41" s="57">
        <v>0</v>
      </c>
      <c r="J41" s="57">
        <v>60343</v>
      </c>
      <c r="K41" s="57">
        <v>6</v>
      </c>
      <c r="L41" s="57">
        <v>10</v>
      </c>
      <c r="M41" s="69">
        <v>2</v>
      </c>
      <c r="N41" s="57">
        <v>0</v>
      </c>
      <c r="O41" s="57">
        <v>37</v>
      </c>
      <c r="P41" s="68">
        <v>0</v>
      </c>
      <c r="Q41" s="57">
        <v>0</v>
      </c>
      <c r="R41" s="57">
        <v>4</v>
      </c>
      <c r="S41" s="60">
        <f t="shared" si="1"/>
        <v>60524</v>
      </c>
      <c r="T41" s="50">
        <f t="shared" si="0"/>
        <v>0.42324052283952684</v>
      </c>
      <c r="U41" s="6"/>
    </row>
    <row r="42" spans="1:21">
      <c r="A42" s="14" t="s">
        <v>49</v>
      </c>
      <c r="B42" s="57">
        <v>144</v>
      </c>
      <c r="C42" s="57">
        <v>317</v>
      </c>
      <c r="D42" s="57">
        <v>12</v>
      </c>
      <c r="E42" s="57">
        <v>8</v>
      </c>
      <c r="F42" s="57">
        <v>0</v>
      </c>
      <c r="G42" s="57">
        <v>0</v>
      </c>
      <c r="H42" s="57">
        <v>4</v>
      </c>
      <c r="I42" s="57">
        <v>0</v>
      </c>
      <c r="J42" s="57">
        <v>2920</v>
      </c>
      <c r="K42" s="57">
        <v>107</v>
      </c>
      <c r="L42" s="57">
        <v>90</v>
      </c>
      <c r="M42" s="58">
        <v>52</v>
      </c>
      <c r="N42" s="57">
        <v>1701</v>
      </c>
      <c r="O42" s="57">
        <v>367</v>
      </c>
      <c r="P42" s="57">
        <v>0</v>
      </c>
      <c r="Q42" s="57">
        <v>32</v>
      </c>
      <c r="R42" s="57">
        <v>917</v>
      </c>
      <c r="S42" s="60">
        <f t="shared" si="1"/>
        <v>6671</v>
      </c>
      <c r="T42" s="50">
        <f t="shared" si="0"/>
        <v>4.6649883151518134E-2</v>
      </c>
      <c r="U42" s="6"/>
    </row>
    <row r="43" spans="1:21">
      <c r="A43" s="14" t="s">
        <v>72</v>
      </c>
      <c r="B43" s="57">
        <v>0</v>
      </c>
      <c r="C43" s="57">
        <v>0</v>
      </c>
      <c r="D43" s="57">
        <v>0</v>
      </c>
      <c r="E43" s="57">
        <v>0</v>
      </c>
      <c r="F43" s="57">
        <v>984</v>
      </c>
      <c r="G43" s="57">
        <v>0</v>
      </c>
      <c r="H43" s="57">
        <v>0</v>
      </c>
      <c r="I43" s="57">
        <v>0</v>
      </c>
      <c r="J43" s="57">
        <v>416</v>
      </c>
      <c r="K43" s="57">
        <v>0</v>
      </c>
      <c r="L43" s="57">
        <v>3</v>
      </c>
      <c r="M43" s="58">
        <v>0</v>
      </c>
      <c r="N43" s="57">
        <v>0</v>
      </c>
      <c r="O43" s="57">
        <v>0</v>
      </c>
      <c r="P43" s="57">
        <v>0</v>
      </c>
      <c r="Q43" s="57">
        <v>39</v>
      </c>
      <c r="R43" s="57">
        <v>0</v>
      </c>
      <c r="S43" s="60">
        <f t="shared" si="1"/>
        <v>1442</v>
      </c>
      <c r="T43" s="50"/>
      <c r="U43" s="9"/>
    </row>
    <row r="44" spans="1:21">
      <c r="A44" s="16" t="s">
        <v>51</v>
      </c>
      <c r="B44" s="62">
        <f t="shared" ref="B44:P44" si="7">SUM(B37:B43)</f>
        <v>21686</v>
      </c>
      <c r="C44" s="62">
        <f t="shared" si="7"/>
        <v>22279</v>
      </c>
      <c r="D44" s="62">
        <f t="shared" si="7"/>
        <v>3125</v>
      </c>
      <c r="E44" s="62">
        <f t="shared" si="7"/>
        <v>424</v>
      </c>
      <c r="F44" s="62">
        <f t="shared" si="7"/>
        <v>89314</v>
      </c>
      <c r="G44" s="62">
        <f t="shared" si="7"/>
        <v>103810</v>
      </c>
      <c r="H44" s="62">
        <f t="shared" si="7"/>
        <v>7976</v>
      </c>
      <c r="I44" s="62">
        <f t="shared" si="7"/>
        <v>914</v>
      </c>
      <c r="J44" s="62">
        <f t="shared" si="7"/>
        <v>561423</v>
      </c>
      <c r="K44" s="62">
        <f t="shared" si="7"/>
        <v>2680</v>
      </c>
      <c r="L44" s="62">
        <f t="shared" si="7"/>
        <v>12503</v>
      </c>
      <c r="M44" s="62">
        <f t="shared" si="7"/>
        <v>13273</v>
      </c>
      <c r="N44" s="62">
        <f t="shared" si="7"/>
        <v>61994</v>
      </c>
      <c r="O44" s="62">
        <f t="shared" si="7"/>
        <v>67328</v>
      </c>
      <c r="P44" s="62">
        <f t="shared" si="7"/>
        <v>8397</v>
      </c>
      <c r="Q44" s="62">
        <f>SUM(Q37:Q42)</f>
        <v>496</v>
      </c>
      <c r="R44" s="62">
        <f>SUM(R37:R43)</f>
        <v>18017</v>
      </c>
      <c r="S44" s="60">
        <f t="shared" si="1"/>
        <v>995639</v>
      </c>
      <c r="T44" s="51">
        <f t="shared" ref="T44:T67" si="8">S44/S$67*100</f>
        <v>6.962440865101839</v>
      </c>
      <c r="U44" s="6"/>
    </row>
    <row r="45" spans="1:21">
      <c r="A45" s="14" t="s">
        <v>52</v>
      </c>
      <c r="B45" s="57">
        <f>15747+62+1176+100+832</f>
        <v>17917</v>
      </c>
      <c r="C45" s="57">
        <v>37419</v>
      </c>
      <c r="D45" s="57">
        <v>9976</v>
      </c>
      <c r="E45" s="57">
        <f>1+6419</f>
        <v>6420</v>
      </c>
      <c r="F45" s="57">
        <v>68007</v>
      </c>
      <c r="G45" s="57">
        <v>326188</v>
      </c>
      <c r="H45" s="57">
        <v>3920</v>
      </c>
      <c r="I45" s="57">
        <v>4830</v>
      </c>
      <c r="J45" s="57">
        <v>66002</v>
      </c>
      <c r="K45" s="57">
        <v>4696</v>
      </c>
      <c r="L45" s="57">
        <v>15836</v>
      </c>
      <c r="M45" s="58">
        <v>16273</v>
      </c>
      <c r="N45" s="57">
        <v>180970</v>
      </c>
      <c r="O45" s="57">
        <v>52058</v>
      </c>
      <c r="P45" s="57">
        <v>19644</v>
      </c>
      <c r="Q45" s="57">
        <v>10625</v>
      </c>
      <c r="R45" s="57">
        <v>26081</v>
      </c>
      <c r="S45" s="60">
        <f t="shared" si="1"/>
        <v>866862</v>
      </c>
      <c r="T45" s="50">
        <f t="shared" si="8"/>
        <v>6.0619114088579398</v>
      </c>
      <c r="U45" s="6"/>
    </row>
    <row r="46" spans="1:21">
      <c r="A46" s="14" t="s">
        <v>53</v>
      </c>
      <c r="B46" s="57">
        <v>1597</v>
      </c>
      <c r="C46" s="57">
        <v>1768</v>
      </c>
      <c r="D46" s="57">
        <v>66</v>
      </c>
      <c r="E46" s="57">
        <v>17</v>
      </c>
      <c r="F46" s="57">
        <v>8162</v>
      </c>
      <c r="G46" s="57">
        <v>36723</v>
      </c>
      <c r="H46" s="57">
        <v>616</v>
      </c>
      <c r="I46" s="57">
        <v>0</v>
      </c>
      <c r="J46" s="57">
        <v>26668</v>
      </c>
      <c r="K46" s="57">
        <v>193</v>
      </c>
      <c r="L46" s="57">
        <v>1722</v>
      </c>
      <c r="M46" s="58">
        <v>3126</v>
      </c>
      <c r="N46" s="57">
        <v>10323</v>
      </c>
      <c r="O46" s="57">
        <v>5990</v>
      </c>
      <c r="P46" s="57">
        <v>61</v>
      </c>
      <c r="Q46" s="57">
        <v>142</v>
      </c>
      <c r="R46" s="57">
        <v>2327</v>
      </c>
      <c r="S46" s="60">
        <f t="shared" si="1"/>
        <v>99501</v>
      </c>
      <c r="T46" s="50">
        <f t="shared" si="8"/>
        <v>0.69580423076888109</v>
      </c>
      <c r="U46" s="9"/>
    </row>
    <row r="47" spans="1:21">
      <c r="A47" s="16" t="s">
        <v>54</v>
      </c>
      <c r="B47" s="62">
        <f>SUM(B45:B46)</f>
        <v>19514</v>
      </c>
      <c r="C47" s="62">
        <f t="shared" ref="C47:J47" si="9">+C46+C45</f>
        <v>39187</v>
      </c>
      <c r="D47" s="62">
        <f t="shared" si="9"/>
        <v>10042</v>
      </c>
      <c r="E47" s="62">
        <f t="shared" si="9"/>
        <v>6437</v>
      </c>
      <c r="F47" s="62">
        <f t="shared" si="9"/>
        <v>76169</v>
      </c>
      <c r="G47" s="62">
        <f t="shared" si="9"/>
        <v>362911</v>
      </c>
      <c r="H47" s="62">
        <f t="shared" si="9"/>
        <v>4536</v>
      </c>
      <c r="I47" s="62">
        <f t="shared" si="9"/>
        <v>4830</v>
      </c>
      <c r="J47" s="62">
        <f t="shared" si="9"/>
        <v>92670</v>
      </c>
      <c r="K47" s="62">
        <f>SUM(K45:K46)</f>
        <v>4889</v>
      </c>
      <c r="L47" s="62">
        <f>SUM(L45:L46)</f>
        <v>17558</v>
      </c>
      <c r="M47" s="62">
        <f t="shared" ref="M47:R47" si="10">+M46+M45</f>
        <v>19399</v>
      </c>
      <c r="N47" s="62">
        <f t="shared" si="10"/>
        <v>191293</v>
      </c>
      <c r="O47" s="62">
        <f t="shared" si="10"/>
        <v>58048</v>
      </c>
      <c r="P47" s="62">
        <f t="shared" si="10"/>
        <v>19705</v>
      </c>
      <c r="Q47" s="62">
        <f t="shared" si="10"/>
        <v>10767</v>
      </c>
      <c r="R47" s="62">
        <f t="shared" si="10"/>
        <v>28408</v>
      </c>
      <c r="S47" s="60">
        <f t="shared" si="1"/>
        <v>966363</v>
      </c>
      <c r="T47" s="51">
        <f t="shared" si="8"/>
        <v>6.757715639626821</v>
      </c>
      <c r="U47" s="6"/>
    </row>
    <row r="48" spans="1:21">
      <c r="A48" s="14" t="s">
        <v>55</v>
      </c>
      <c r="B48" s="57">
        <v>18890</v>
      </c>
      <c r="C48" s="57">
        <v>42176</v>
      </c>
      <c r="D48" s="57">
        <v>5901</v>
      </c>
      <c r="E48" s="57">
        <f>4956+52</f>
        <v>5008</v>
      </c>
      <c r="F48" s="57">
        <v>61309</v>
      </c>
      <c r="G48" s="57">
        <v>261864</v>
      </c>
      <c r="H48" s="57">
        <v>3174</v>
      </c>
      <c r="I48" s="57">
        <v>4643</v>
      </c>
      <c r="J48" s="57">
        <v>60913</v>
      </c>
      <c r="K48" s="57">
        <v>4943</v>
      </c>
      <c r="L48" s="57">
        <v>18827</v>
      </c>
      <c r="M48" s="58">
        <v>14534</v>
      </c>
      <c r="N48" s="57">
        <v>175101</v>
      </c>
      <c r="O48" s="57">
        <v>48754</v>
      </c>
      <c r="P48" s="57">
        <v>21419</v>
      </c>
      <c r="Q48" s="57">
        <v>13119</v>
      </c>
      <c r="R48" s="65">
        <v>24916</v>
      </c>
      <c r="S48" s="60">
        <f t="shared" si="1"/>
        <v>785491</v>
      </c>
      <c r="T48" s="50">
        <f t="shared" si="8"/>
        <v>5.492889127052786</v>
      </c>
      <c r="U48" s="6"/>
    </row>
    <row r="49" spans="1:21">
      <c r="A49" s="14" t="s">
        <v>56</v>
      </c>
      <c r="B49" s="57">
        <v>2770</v>
      </c>
      <c r="C49" s="57">
        <v>7530</v>
      </c>
      <c r="D49" s="57">
        <v>632</v>
      </c>
      <c r="E49" s="57">
        <v>276</v>
      </c>
      <c r="F49" s="57">
        <v>26431</v>
      </c>
      <c r="G49" s="57">
        <v>46706</v>
      </c>
      <c r="H49" s="57">
        <v>1573</v>
      </c>
      <c r="I49" s="57">
        <v>623</v>
      </c>
      <c r="J49" s="57">
        <v>24735</v>
      </c>
      <c r="K49" s="57">
        <v>973</v>
      </c>
      <c r="L49" s="57">
        <v>6182</v>
      </c>
      <c r="M49" s="58">
        <v>2800</v>
      </c>
      <c r="N49" s="57">
        <v>68166</v>
      </c>
      <c r="O49" s="57">
        <v>12136</v>
      </c>
      <c r="P49" s="57">
        <v>3062</v>
      </c>
      <c r="Q49" s="57">
        <v>990</v>
      </c>
      <c r="R49" s="65">
        <v>5689</v>
      </c>
      <c r="S49" s="60">
        <f t="shared" si="1"/>
        <v>211274</v>
      </c>
      <c r="T49" s="50">
        <f t="shared" si="8"/>
        <v>1.4774257851827077</v>
      </c>
      <c r="U49" s="6"/>
    </row>
    <row r="50" spans="1:21">
      <c r="A50" s="14" t="s">
        <v>78</v>
      </c>
      <c r="B50" s="57">
        <v>3</v>
      </c>
      <c r="C50" s="57">
        <v>18</v>
      </c>
      <c r="D50" s="57">
        <v>0</v>
      </c>
      <c r="E50" s="57">
        <v>0</v>
      </c>
      <c r="F50" s="57">
        <v>8</v>
      </c>
      <c r="G50" s="57">
        <v>0</v>
      </c>
      <c r="H50" s="57">
        <v>0</v>
      </c>
      <c r="I50" s="57">
        <v>0</v>
      </c>
      <c r="J50" s="57">
        <v>45</v>
      </c>
      <c r="K50" s="57">
        <v>5</v>
      </c>
      <c r="L50" s="57">
        <v>14</v>
      </c>
      <c r="M50" s="58">
        <v>0</v>
      </c>
      <c r="N50" s="57">
        <v>0</v>
      </c>
      <c r="O50" s="57">
        <v>3</v>
      </c>
      <c r="P50" s="57">
        <v>0</v>
      </c>
      <c r="Q50" s="57">
        <v>0</v>
      </c>
      <c r="R50" s="65">
        <v>0</v>
      </c>
      <c r="S50" s="60">
        <f t="shared" si="1"/>
        <v>96</v>
      </c>
      <c r="T50" s="50">
        <f t="shared" si="8"/>
        <v>6.7132195810909023E-4</v>
      </c>
      <c r="U50" s="6"/>
    </row>
    <row r="51" spans="1:21">
      <c r="A51" s="16" t="s">
        <v>57</v>
      </c>
      <c r="B51" s="62">
        <f>SUM(B48:B50)</f>
        <v>21663</v>
      </c>
      <c r="C51" s="62">
        <f>+C49+C48+C50</f>
        <v>49724</v>
      </c>
      <c r="D51" s="62">
        <f t="shared" ref="D51:R51" si="11">+D49+D48+D50</f>
        <v>6533</v>
      </c>
      <c r="E51" s="62">
        <f t="shared" si="11"/>
        <v>5284</v>
      </c>
      <c r="F51" s="62">
        <f t="shared" si="11"/>
        <v>87748</v>
      </c>
      <c r="G51" s="62">
        <f t="shared" si="11"/>
        <v>308570</v>
      </c>
      <c r="H51" s="62">
        <f t="shared" si="11"/>
        <v>4747</v>
      </c>
      <c r="I51" s="62">
        <f t="shared" si="11"/>
        <v>5266</v>
      </c>
      <c r="J51" s="62">
        <f t="shared" si="11"/>
        <v>85693</v>
      </c>
      <c r="K51" s="62">
        <f t="shared" si="11"/>
        <v>5921</v>
      </c>
      <c r="L51" s="62">
        <f>+L49+L48+L50</f>
        <v>25023</v>
      </c>
      <c r="M51" s="62">
        <f t="shared" si="11"/>
        <v>17334</v>
      </c>
      <c r="N51" s="62">
        <f t="shared" si="11"/>
        <v>243267</v>
      </c>
      <c r="O51" s="62">
        <f t="shared" si="11"/>
        <v>60893</v>
      </c>
      <c r="P51" s="62">
        <f t="shared" si="11"/>
        <v>24481</v>
      </c>
      <c r="Q51" s="62">
        <f t="shared" si="11"/>
        <v>14109</v>
      </c>
      <c r="R51" s="62">
        <f t="shared" si="11"/>
        <v>30605</v>
      </c>
      <c r="S51" s="60">
        <f t="shared" si="1"/>
        <v>996861</v>
      </c>
      <c r="T51" s="51">
        <f t="shared" si="8"/>
        <v>6.9709862341936022</v>
      </c>
      <c r="U51" s="6"/>
    </row>
    <row r="52" spans="1:21">
      <c r="A52" s="14" t="s">
        <v>58</v>
      </c>
      <c r="B52" s="57">
        <f>10466+1897+7542</f>
        <v>19905</v>
      </c>
      <c r="C52" s="57">
        <v>19577</v>
      </c>
      <c r="D52" s="57">
        <v>8721</v>
      </c>
      <c r="E52" s="57">
        <v>2713</v>
      </c>
      <c r="F52" s="57">
        <v>29570</v>
      </c>
      <c r="G52" s="57">
        <v>108518</v>
      </c>
      <c r="H52" s="57">
        <v>4038</v>
      </c>
      <c r="I52" s="57">
        <v>11930</v>
      </c>
      <c r="J52" s="57">
        <v>58943</v>
      </c>
      <c r="K52" s="57">
        <v>1782</v>
      </c>
      <c r="L52" s="57">
        <v>13943</v>
      </c>
      <c r="M52" s="58">
        <v>3476</v>
      </c>
      <c r="N52" s="57">
        <v>93403</v>
      </c>
      <c r="O52" s="57">
        <v>55219</v>
      </c>
      <c r="P52" s="57">
        <v>7976</v>
      </c>
      <c r="Q52" s="57">
        <v>3787</v>
      </c>
      <c r="R52" s="57">
        <v>8598</v>
      </c>
      <c r="S52" s="60">
        <f t="shared" si="1"/>
        <v>452099</v>
      </c>
      <c r="T52" s="50">
        <f t="shared" si="8"/>
        <v>3.1614998535329333</v>
      </c>
      <c r="U52" s="6"/>
    </row>
    <row r="53" spans="1:21">
      <c r="A53" s="14" t="s">
        <v>59</v>
      </c>
      <c r="B53" s="57">
        <f>4531+4902</f>
        <v>9433</v>
      </c>
      <c r="C53" s="57">
        <v>12674</v>
      </c>
      <c r="D53" s="57">
        <v>9128</v>
      </c>
      <c r="E53" s="57">
        <v>6847</v>
      </c>
      <c r="F53" s="57">
        <v>37235</v>
      </c>
      <c r="G53" s="57">
        <v>64068</v>
      </c>
      <c r="H53" s="57">
        <v>1257</v>
      </c>
      <c r="I53" s="57">
        <v>7132</v>
      </c>
      <c r="J53" s="57">
        <v>47964</v>
      </c>
      <c r="K53" s="57">
        <v>624</v>
      </c>
      <c r="L53" s="57">
        <v>23235</v>
      </c>
      <c r="M53" s="58">
        <v>5489</v>
      </c>
      <c r="N53" s="57">
        <v>93222</v>
      </c>
      <c r="O53" s="57">
        <v>58949</v>
      </c>
      <c r="P53" s="57">
        <v>23092</v>
      </c>
      <c r="Q53" s="57">
        <v>4653</v>
      </c>
      <c r="R53" s="57">
        <v>3835</v>
      </c>
      <c r="S53" s="60">
        <f t="shared" si="1"/>
        <v>408837</v>
      </c>
      <c r="T53" s="50">
        <f t="shared" si="8"/>
        <v>2.8589714102858972</v>
      </c>
      <c r="U53" s="6"/>
    </row>
    <row r="54" spans="1:21">
      <c r="A54" s="14" t="s">
        <v>60</v>
      </c>
      <c r="B54" s="57">
        <v>134</v>
      </c>
      <c r="C54" s="57">
        <v>1291</v>
      </c>
      <c r="D54" s="57">
        <v>21</v>
      </c>
      <c r="E54" s="57">
        <v>33</v>
      </c>
      <c r="F54" s="57">
        <v>0</v>
      </c>
      <c r="G54" s="57">
        <v>3232</v>
      </c>
      <c r="H54" s="57">
        <v>50</v>
      </c>
      <c r="I54" s="57">
        <v>103</v>
      </c>
      <c r="J54" s="57">
        <v>2245</v>
      </c>
      <c r="K54" s="57">
        <v>190</v>
      </c>
      <c r="L54" s="57">
        <v>7</v>
      </c>
      <c r="M54" s="58">
        <v>0</v>
      </c>
      <c r="N54" s="57">
        <v>3590</v>
      </c>
      <c r="O54" s="57">
        <v>3857</v>
      </c>
      <c r="P54" s="57">
        <v>471</v>
      </c>
      <c r="Q54" s="57">
        <v>47</v>
      </c>
      <c r="R54" s="57">
        <v>806</v>
      </c>
      <c r="S54" s="60">
        <f t="shared" si="1"/>
        <v>16077</v>
      </c>
      <c r="T54" s="50">
        <f t="shared" si="8"/>
        <v>0.11242544917208172</v>
      </c>
      <c r="U54" s="9"/>
    </row>
    <row r="55" spans="1:21">
      <c r="A55" s="16" t="s">
        <v>61</v>
      </c>
      <c r="B55" s="62">
        <f t="shared" ref="B55:R55" si="12">SUM(B52:B54)</f>
        <v>29472</v>
      </c>
      <c r="C55" s="62">
        <f t="shared" si="12"/>
        <v>33542</v>
      </c>
      <c r="D55" s="62">
        <f t="shared" si="12"/>
        <v>17870</v>
      </c>
      <c r="E55" s="62">
        <f t="shared" si="12"/>
        <v>9593</v>
      </c>
      <c r="F55" s="62">
        <f t="shared" si="12"/>
        <v>66805</v>
      </c>
      <c r="G55" s="62">
        <f t="shared" si="12"/>
        <v>175818</v>
      </c>
      <c r="H55" s="62">
        <f t="shared" si="12"/>
        <v>5345</v>
      </c>
      <c r="I55" s="62">
        <f t="shared" si="12"/>
        <v>19165</v>
      </c>
      <c r="J55" s="62">
        <f t="shared" si="12"/>
        <v>109152</v>
      </c>
      <c r="K55" s="62">
        <f t="shared" si="12"/>
        <v>2596</v>
      </c>
      <c r="L55" s="62">
        <f>SUM(L52:L54)</f>
        <v>37185</v>
      </c>
      <c r="M55" s="62">
        <f t="shared" si="12"/>
        <v>8965</v>
      </c>
      <c r="N55" s="62">
        <f t="shared" si="12"/>
        <v>190215</v>
      </c>
      <c r="O55" s="62">
        <f t="shared" si="12"/>
        <v>118025</v>
      </c>
      <c r="P55" s="62">
        <f t="shared" si="12"/>
        <v>31539</v>
      </c>
      <c r="Q55" s="62">
        <f t="shared" si="12"/>
        <v>8487</v>
      </c>
      <c r="R55" s="62">
        <f t="shared" si="12"/>
        <v>13239</v>
      </c>
      <c r="S55" s="60">
        <f t="shared" si="1"/>
        <v>877013</v>
      </c>
      <c r="T55" s="51">
        <f t="shared" si="8"/>
        <v>6.1328967129909122</v>
      </c>
      <c r="U55" s="21"/>
    </row>
    <row r="56" spans="1:21">
      <c r="A56" s="20" t="s">
        <v>62</v>
      </c>
      <c r="B56" s="57">
        <v>944</v>
      </c>
      <c r="C56" s="57">
        <v>3225</v>
      </c>
      <c r="D56" s="57">
        <v>338</v>
      </c>
      <c r="E56" s="57">
        <v>246</v>
      </c>
      <c r="F56" s="57">
        <v>0</v>
      </c>
      <c r="G56" s="57">
        <v>8987</v>
      </c>
      <c r="H56" s="57">
        <v>37</v>
      </c>
      <c r="I56" s="57">
        <v>656</v>
      </c>
      <c r="J56" s="57">
        <v>5319</v>
      </c>
      <c r="K56" s="57">
        <v>396</v>
      </c>
      <c r="L56" s="57">
        <v>1384</v>
      </c>
      <c r="M56" s="58">
        <v>697</v>
      </c>
      <c r="N56" s="57">
        <v>35544</v>
      </c>
      <c r="O56" s="57">
        <v>3545</v>
      </c>
      <c r="P56" s="57">
        <v>362</v>
      </c>
      <c r="Q56" s="57">
        <v>299</v>
      </c>
      <c r="R56" s="57">
        <v>1295</v>
      </c>
      <c r="S56" s="60">
        <f t="shared" si="1"/>
        <v>63274</v>
      </c>
      <c r="T56" s="52">
        <f t="shared" si="8"/>
        <v>0.44247109976452687</v>
      </c>
      <c r="U56" s="23"/>
    </row>
    <row r="57" spans="1:21">
      <c r="A57" s="14" t="s">
        <v>63</v>
      </c>
      <c r="B57" s="57">
        <v>2257</v>
      </c>
      <c r="C57" s="57">
        <v>5944</v>
      </c>
      <c r="D57" s="57">
        <v>173</v>
      </c>
      <c r="E57" s="57">
        <v>280</v>
      </c>
      <c r="F57" s="57">
        <v>0</v>
      </c>
      <c r="G57" s="57">
        <v>23656</v>
      </c>
      <c r="H57" s="57">
        <v>131</v>
      </c>
      <c r="I57" s="57">
        <v>1217</v>
      </c>
      <c r="J57" s="57">
        <v>18685</v>
      </c>
      <c r="K57" s="57">
        <v>955</v>
      </c>
      <c r="L57" s="57">
        <v>1891</v>
      </c>
      <c r="M57" s="58">
        <v>1035</v>
      </c>
      <c r="N57" s="57">
        <v>82653</v>
      </c>
      <c r="O57" s="57">
        <v>10192</v>
      </c>
      <c r="P57" s="57">
        <v>1058</v>
      </c>
      <c r="Q57" s="57">
        <v>406</v>
      </c>
      <c r="R57" s="57">
        <v>3546</v>
      </c>
      <c r="S57" s="60">
        <f t="shared" si="1"/>
        <v>154079</v>
      </c>
      <c r="T57" s="50">
        <f t="shared" si="8"/>
        <v>1.0774647498280263</v>
      </c>
      <c r="U57" s="9"/>
    </row>
    <row r="58" spans="1:21">
      <c r="A58" s="16" t="s">
        <v>64</v>
      </c>
      <c r="B58" s="62">
        <f>SUM(B56:B57)</f>
        <v>3201</v>
      </c>
      <c r="C58" s="62">
        <f>SUM(C56:C57)</f>
        <v>9169</v>
      </c>
      <c r="D58" s="62">
        <f>+D57+D56</f>
        <v>511</v>
      </c>
      <c r="E58" s="62">
        <f>SUM(E56:E57)</f>
        <v>526</v>
      </c>
      <c r="F58" s="62">
        <f>SUM(F56:F57)</f>
        <v>0</v>
      </c>
      <c r="G58" s="62">
        <f>+G57+G56</f>
        <v>32643</v>
      </c>
      <c r="H58" s="62">
        <f t="shared" ref="H58:N58" si="13">SUM(H56:H57)</f>
        <v>168</v>
      </c>
      <c r="I58" s="62">
        <f t="shared" si="13"/>
        <v>1873</v>
      </c>
      <c r="J58" s="62">
        <f t="shared" si="13"/>
        <v>24004</v>
      </c>
      <c r="K58" s="62">
        <f t="shared" si="13"/>
        <v>1351</v>
      </c>
      <c r="L58" s="62">
        <f>SUM(L56:L57)</f>
        <v>3275</v>
      </c>
      <c r="M58" s="62">
        <f t="shared" si="13"/>
        <v>1732</v>
      </c>
      <c r="N58" s="62">
        <f t="shared" si="13"/>
        <v>118197</v>
      </c>
      <c r="O58" s="62">
        <f>+O57+O56</f>
        <v>13737</v>
      </c>
      <c r="P58" s="62">
        <f>+P57+P56</f>
        <v>1420</v>
      </c>
      <c r="Q58" s="62">
        <f>+Q57+Q56</f>
        <v>705</v>
      </c>
      <c r="R58" s="62">
        <f>SUM(R56:R57)</f>
        <v>4841</v>
      </c>
      <c r="S58" s="60">
        <f t="shared" si="1"/>
        <v>217353</v>
      </c>
      <c r="T58" s="51">
        <f t="shared" si="8"/>
        <v>1.519935849592553</v>
      </c>
      <c r="U58" s="6"/>
    </row>
    <row r="59" spans="1:21">
      <c r="A59" s="14" t="s">
        <v>66</v>
      </c>
      <c r="B59" s="57">
        <v>12</v>
      </c>
      <c r="C59" s="57">
        <v>46</v>
      </c>
      <c r="D59" s="57">
        <v>1</v>
      </c>
      <c r="E59" s="57">
        <v>0</v>
      </c>
      <c r="F59" s="57">
        <v>0</v>
      </c>
      <c r="G59" s="57">
        <v>0</v>
      </c>
      <c r="H59" s="57">
        <v>0</v>
      </c>
      <c r="I59" s="57">
        <v>0</v>
      </c>
      <c r="J59" s="57">
        <v>41</v>
      </c>
      <c r="K59" s="57">
        <v>33</v>
      </c>
      <c r="L59" s="57">
        <v>31</v>
      </c>
      <c r="M59" s="58">
        <v>16</v>
      </c>
      <c r="N59" s="57">
        <v>1471</v>
      </c>
      <c r="O59" s="57">
        <v>19</v>
      </c>
      <c r="P59" s="57">
        <v>0</v>
      </c>
      <c r="Q59" s="57">
        <v>9</v>
      </c>
      <c r="R59" s="57">
        <v>217</v>
      </c>
      <c r="S59" s="60">
        <f t="shared" si="1"/>
        <v>1896</v>
      </c>
      <c r="T59" s="50">
        <f t="shared" si="8"/>
        <v>1.3258608672654533E-2</v>
      </c>
      <c r="U59" s="6"/>
    </row>
    <row r="60" spans="1:21">
      <c r="A60" s="14" t="s">
        <v>67</v>
      </c>
      <c r="B60" s="57">
        <v>0</v>
      </c>
      <c r="C60" s="57">
        <v>0</v>
      </c>
      <c r="D60" s="57">
        <v>0</v>
      </c>
      <c r="E60" s="57">
        <v>0</v>
      </c>
      <c r="F60" s="57">
        <v>0</v>
      </c>
      <c r="G60" s="57">
        <v>0</v>
      </c>
      <c r="H60" s="57">
        <v>0</v>
      </c>
      <c r="I60" s="57">
        <v>0</v>
      </c>
      <c r="J60" s="57">
        <v>0</v>
      </c>
      <c r="K60" s="57">
        <v>0</v>
      </c>
      <c r="L60" s="57">
        <v>0</v>
      </c>
      <c r="M60" s="58">
        <v>0</v>
      </c>
      <c r="N60" s="57">
        <v>0</v>
      </c>
      <c r="O60" s="57">
        <v>0</v>
      </c>
      <c r="P60" s="57">
        <v>57</v>
      </c>
      <c r="Q60" s="57">
        <v>1</v>
      </c>
      <c r="R60" s="57">
        <v>0</v>
      </c>
      <c r="S60" s="60">
        <f t="shared" si="1"/>
        <v>58</v>
      </c>
      <c r="T60" s="50">
        <f t="shared" si="8"/>
        <v>4.0559034969090871E-4</v>
      </c>
      <c r="U60" s="6"/>
    </row>
    <row r="61" spans="1:21">
      <c r="A61" s="24" t="s">
        <v>65</v>
      </c>
      <c r="B61" s="57">
        <f>75+134</f>
        <v>209</v>
      </c>
      <c r="C61" s="57">
        <v>3</v>
      </c>
      <c r="D61" s="57">
        <v>0</v>
      </c>
      <c r="E61" s="57">
        <v>13</v>
      </c>
      <c r="F61" s="57">
        <v>0</v>
      </c>
      <c r="G61" s="57">
        <v>0</v>
      </c>
      <c r="H61" s="57">
        <v>0</v>
      </c>
      <c r="I61" s="57">
        <v>0</v>
      </c>
      <c r="J61" s="57">
        <v>36</v>
      </c>
      <c r="K61" s="57">
        <v>38</v>
      </c>
      <c r="L61" s="57">
        <v>0</v>
      </c>
      <c r="M61" s="58">
        <v>0</v>
      </c>
      <c r="N61" s="57">
        <v>0</v>
      </c>
      <c r="O61" s="57">
        <v>1</v>
      </c>
      <c r="P61" s="57">
        <v>0</v>
      </c>
      <c r="Q61" s="57">
        <v>0</v>
      </c>
      <c r="R61" s="57">
        <v>0</v>
      </c>
      <c r="S61" s="60">
        <f t="shared" si="1"/>
        <v>300</v>
      </c>
      <c r="T61" s="50">
        <f t="shared" si="8"/>
        <v>2.0978811190909071E-3</v>
      </c>
      <c r="U61" s="6"/>
    </row>
    <row r="62" spans="1:21">
      <c r="A62" s="14" t="s">
        <v>68</v>
      </c>
      <c r="B62" s="57">
        <v>6</v>
      </c>
      <c r="C62" s="57">
        <v>27</v>
      </c>
      <c r="D62" s="57">
        <v>0</v>
      </c>
      <c r="E62" s="57">
        <v>0</v>
      </c>
      <c r="F62" s="57">
        <v>0</v>
      </c>
      <c r="G62" s="57">
        <v>0</v>
      </c>
      <c r="H62" s="57">
        <v>0</v>
      </c>
      <c r="I62" s="57">
        <v>0</v>
      </c>
      <c r="J62" s="57">
        <v>77</v>
      </c>
      <c r="K62" s="57">
        <v>22</v>
      </c>
      <c r="L62" s="57">
        <v>2</v>
      </c>
      <c r="M62" s="58">
        <v>0</v>
      </c>
      <c r="N62" s="57">
        <v>279</v>
      </c>
      <c r="O62" s="57">
        <v>3</v>
      </c>
      <c r="P62" s="57">
        <v>0</v>
      </c>
      <c r="Q62" s="57">
        <v>0</v>
      </c>
      <c r="R62" s="57">
        <v>0</v>
      </c>
      <c r="S62" s="60">
        <f t="shared" si="1"/>
        <v>416</v>
      </c>
      <c r="T62" s="50">
        <f t="shared" si="8"/>
        <v>2.9090618184727246E-3</v>
      </c>
      <c r="U62" s="6"/>
    </row>
    <row r="63" spans="1:21">
      <c r="A63" s="14" t="s">
        <v>70</v>
      </c>
      <c r="B63" s="57">
        <v>0</v>
      </c>
      <c r="C63" s="57">
        <v>0</v>
      </c>
      <c r="D63" s="57">
        <v>0</v>
      </c>
      <c r="E63" s="57">
        <v>0</v>
      </c>
      <c r="F63" s="57">
        <v>0</v>
      </c>
      <c r="G63" s="57">
        <v>0</v>
      </c>
      <c r="H63" s="57">
        <v>0</v>
      </c>
      <c r="I63" s="57">
        <v>0</v>
      </c>
      <c r="J63" s="57">
        <v>0</v>
      </c>
      <c r="K63" s="57">
        <v>0</v>
      </c>
      <c r="L63" s="57">
        <v>0</v>
      </c>
      <c r="M63" s="58">
        <v>0</v>
      </c>
      <c r="N63" s="57">
        <v>0</v>
      </c>
      <c r="O63" s="57">
        <v>0</v>
      </c>
      <c r="P63" s="57">
        <v>0</v>
      </c>
      <c r="Q63" s="57">
        <v>0</v>
      </c>
      <c r="R63" s="57">
        <v>0</v>
      </c>
      <c r="S63" s="60">
        <f t="shared" si="1"/>
        <v>0</v>
      </c>
      <c r="T63" s="50">
        <f t="shared" si="8"/>
        <v>0</v>
      </c>
      <c r="U63" s="6"/>
    </row>
    <row r="64" spans="1:21">
      <c r="A64" s="14" t="s">
        <v>71</v>
      </c>
      <c r="B64" s="57">
        <v>0</v>
      </c>
      <c r="C64" s="57">
        <v>0</v>
      </c>
      <c r="D64" s="57">
        <v>0</v>
      </c>
      <c r="E64" s="57">
        <v>0</v>
      </c>
      <c r="F64" s="57">
        <v>0</v>
      </c>
      <c r="G64" s="57">
        <v>0</v>
      </c>
      <c r="H64" s="57">
        <v>0</v>
      </c>
      <c r="I64" s="57">
        <v>0</v>
      </c>
      <c r="J64" s="57">
        <v>0</v>
      </c>
      <c r="K64" s="57">
        <v>0</v>
      </c>
      <c r="L64" s="57">
        <v>0</v>
      </c>
      <c r="M64" s="58">
        <v>0</v>
      </c>
      <c r="N64" s="57">
        <v>0</v>
      </c>
      <c r="O64" s="57">
        <v>0</v>
      </c>
      <c r="P64" s="57">
        <v>0</v>
      </c>
      <c r="Q64" s="57">
        <v>0</v>
      </c>
      <c r="R64" s="57">
        <v>0</v>
      </c>
      <c r="S64" s="60">
        <f t="shared" si="1"/>
        <v>0</v>
      </c>
      <c r="T64" s="50">
        <f t="shared" si="8"/>
        <v>0</v>
      </c>
      <c r="U64" s="6"/>
    </row>
    <row r="65" spans="1:23">
      <c r="A65" s="14" t="s">
        <v>76</v>
      </c>
      <c r="B65" s="57">
        <v>900</v>
      </c>
      <c r="C65" s="57">
        <v>1151</v>
      </c>
      <c r="D65" s="57">
        <v>98</v>
      </c>
      <c r="E65" s="57">
        <v>248</v>
      </c>
      <c r="F65" s="57">
        <v>0</v>
      </c>
      <c r="G65" s="57">
        <v>3332</v>
      </c>
      <c r="H65" s="57">
        <v>1</v>
      </c>
      <c r="I65" s="57">
        <v>49</v>
      </c>
      <c r="J65" s="57">
        <v>535</v>
      </c>
      <c r="K65" s="57">
        <v>155</v>
      </c>
      <c r="L65" s="57">
        <v>3288</v>
      </c>
      <c r="M65" s="58">
        <v>0</v>
      </c>
      <c r="N65" s="57">
        <v>0</v>
      </c>
      <c r="O65" s="57">
        <v>387</v>
      </c>
      <c r="P65" s="57">
        <v>0</v>
      </c>
      <c r="Q65" s="57">
        <v>8460</v>
      </c>
      <c r="R65" s="57">
        <v>0</v>
      </c>
      <c r="S65" s="60">
        <f t="shared" si="1"/>
        <v>18604</v>
      </c>
      <c r="T65" s="50">
        <f t="shared" si="8"/>
        <v>0.13009660113189078</v>
      </c>
      <c r="U65" s="6"/>
    </row>
    <row r="66" spans="1:23">
      <c r="A66" s="14" t="s">
        <v>72</v>
      </c>
      <c r="B66" s="57">
        <f>5+5+4+3+2+12</f>
        <v>31</v>
      </c>
      <c r="C66" s="57">
        <f>15+13+13+13+12+8+5+5+4+3+3</f>
        <v>94</v>
      </c>
      <c r="D66" s="57">
        <v>184</v>
      </c>
      <c r="E66" s="57">
        <v>1396</v>
      </c>
      <c r="F66" s="57">
        <f>152+7+155+63506-3</f>
        <v>63817</v>
      </c>
      <c r="G66" s="57">
        <v>20160</v>
      </c>
      <c r="H66" s="57">
        <v>3</v>
      </c>
      <c r="I66" s="57">
        <v>55</v>
      </c>
      <c r="J66" s="57">
        <v>465</v>
      </c>
      <c r="K66" s="57">
        <v>47</v>
      </c>
      <c r="L66" s="57">
        <v>1666</v>
      </c>
      <c r="M66" s="58">
        <v>0</v>
      </c>
      <c r="N66" s="57">
        <v>11568</v>
      </c>
      <c r="O66" s="57">
        <v>145</v>
      </c>
      <c r="P66" s="57">
        <v>14540</v>
      </c>
      <c r="Q66" s="57">
        <v>39</v>
      </c>
      <c r="R66" s="57">
        <v>3512</v>
      </c>
      <c r="S66" s="60">
        <f t="shared" si="1"/>
        <v>117722</v>
      </c>
      <c r="T66" s="50">
        <f t="shared" si="8"/>
        <v>0.82322253700539916</v>
      </c>
      <c r="U66" s="6"/>
      <c r="V66" s="38"/>
      <c r="W66" s="38"/>
    </row>
    <row r="67" spans="1:23" s="38" customFormat="1">
      <c r="A67" s="46" t="s">
        <v>14</v>
      </c>
      <c r="B67" s="70">
        <f>SUM(B12,B17,B18,B19,B23,B26,B36,B44,B47,B51,B55,B58,B59:B66)</f>
        <v>353320</v>
      </c>
      <c r="C67" s="70">
        <f t="shared" ref="C67:R67" si="14">SUM(C12,C17,C18,C19,C23,C26,C36,C44,C47,C51,C55,C58,C59:C66)</f>
        <v>546558</v>
      </c>
      <c r="D67" s="70">
        <f t="shared" si="14"/>
        <v>221791</v>
      </c>
      <c r="E67" s="70">
        <f t="shared" si="14"/>
        <v>118582</v>
      </c>
      <c r="F67" s="70">
        <f t="shared" si="14"/>
        <v>2110748</v>
      </c>
      <c r="G67" s="70">
        <f t="shared" si="14"/>
        <v>3441253</v>
      </c>
      <c r="H67" s="70">
        <f t="shared" si="14"/>
        <v>88083</v>
      </c>
      <c r="I67" s="70">
        <f t="shared" si="14"/>
        <v>131332</v>
      </c>
      <c r="J67" s="70">
        <f t="shared" si="14"/>
        <v>1971646</v>
      </c>
      <c r="K67" s="70">
        <f t="shared" si="14"/>
        <v>52775</v>
      </c>
      <c r="L67" s="70">
        <f t="shared" si="14"/>
        <v>414306</v>
      </c>
      <c r="M67" s="70">
        <f t="shared" si="14"/>
        <v>222129</v>
      </c>
      <c r="N67" s="70">
        <f t="shared" si="14"/>
        <v>2540617</v>
      </c>
      <c r="O67" s="70">
        <f t="shared" si="14"/>
        <v>1234932</v>
      </c>
      <c r="P67" s="70">
        <f t="shared" si="14"/>
        <v>379393</v>
      </c>
      <c r="Q67" s="70">
        <f t="shared" si="14"/>
        <v>158650</v>
      </c>
      <c r="R67" s="70">
        <f t="shared" si="14"/>
        <v>314028</v>
      </c>
      <c r="S67" s="70">
        <f t="shared" si="1"/>
        <v>14300143</v>
      </c>
      <c r="T67" s="53">
        <f t="shared" si="8"/>
        <v>100</v>
      </c>
      <c r="U67" s="27"/>
      <c r="V67" s="2"/>
      <c r="W67" s="2"/>
    </row>
    <row r="68" spans="1:23" ht="17.25">
      <c r="A68" s="76" t="s">
        <v>92</v>
      </c>
      <c r="B68" s="76" t="s">
        <v>93</v>
      </c>
      <c r="C68" s="77"/>
      <c r="D68" s="77"/>
      <c r="E68" s="77"/>
      <c r="F68" s="77"/>
      <c r="G68" s="77"/>
      <c r="H68" s="77"/>
      <c r="I68" s="77"/>
      <c r="J68" s="38"/>
      <c r="K68" s="77"/>
      <c r="L68" s="77"/>
      <c r="M68" s="77"/>
      <c r="N68" s="77"/>
      <c r="O68" s="77"/>
      <c r="P68" s="77"/>
      <c r="Q68" s="77"/>
      <c r="R68" s="77"/>
      <c r="S68" s="77"/>
      <c r="T68" s="78"/>
      <c r="U68" s="6"/>
    </row>
    <row r="69" spans="1:23" ht="17.25">
      <c r="A69" s="76" t="s">
        <v>94</v>
      </c>
      <c r="B69" s="6"/>
      <c r="C69" s="6"/>
      <c r="D69" s="6"/>
      <c r="E69" s="6"/>
      <c r="F69" s="6"/>
      <c r="G69" s="7"/>
      <c r="H69" s="6"/>
      <c r="I69" s="6"/>
      <c r="J69" s="6"/>
      <c r="K69" s="6"/>
      <c r="L69" s="6"/>
      <c r="M69" s="8"/>
      <c r="N69" s="6"/>
      <c r="O69" s="6"/>
      <c r="P69" s="6"/>
      <c r="Q69" s="6"/>
      <c r="R69" s="6"/>
      <c r="S69" s="9"/>
      <c r="T69" s="73" t="s">
        <v>73</v>
      </c>
    </row>
    <row r="71" spans="1:23"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</row>
    <row r="72" spans="1:23">
      <c r="F72" s="74"/>
      <c r="K72" s="74"/>
    </row>
    <row r="73" spans="1:23">
      <c r="B73" s="74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</row>
    <row r="74" spans="1:23">
      <c r="S74" s="48"/>
    </row>
    <row r="75" spans="1:23">
      <c r="S75" s="48"/>
    </row>
  </sheetData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rowBreaks count="1" manualBreakCount="1">
    <brk id="51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73"/>
  <sheetViews>
    <sheetView showGridLines="0" workbookViewId="0">
      <pane ySplit="3" topLeftCell="A4" activePane="bottomLeft" state="frozenSplit"/>
      <selection activeCell="F9" sqref="F9"/>
      <selection pane="bottomLeft" activeCell="B9" sqref="B9"/>
    </sheetView>
  </sheetViews>
  <sheetFormatPr defaultColWidth="9.28515625" defaultRowHeight="15"/>
  <cols>
    <col min="1" max="1" width="24" style="2" customWidth="1"/>
    <col min="2" max="2" width="9" style="2" customWidth="1"/>
    <col min="3" max="3" width="9.42578125" style="2" customWidth="1"/>
    <col min="4" max="5" width="9" style="2" customWidth="1"/>
    <col min="6" max="6" width="10.5703125" style="2" customWidth="1"/>
    <col min="7" max="7" width="10.5703125" style="3" customWidth="1"/>
    <col min="8" max="8" width="8.28515625" style="2" customWidth="1"/>
    <col min="9" max="9" width="9.42578125" style="2" customWidth="1"/>
    <col min="10" max="10" width="10.5703125" style="2" customWidth="1"/>
    <col min="11" max="11" width="8" style="2" customWidth="1"/>
    <col min="12" max="12" width="9" style="2" customWidth="1"/>
    <col min="13" max="13" width="9" style="3" customWidth="1"/>
    <col min="14" max="15" width="10.5703125" style="2" customWidth="1"/>
    <col min="16" max="18" width="9" style="2" customWidth="1"/>
    <col min="19" max="19" width="11.5703125" style="2" customWidth="1"/>
    <col min="20" max="20" width="8.42578125" style="71" customWidth="1"/>
    <col min="21" max="16384" width="9.28515625" style="2"/>
  </cols>
  <sheetData>
    <row r="1" spans="1:21" ht="22.5" customHeight="1">
      <c r="B1" s="1" t="s">
        <v>97</v>
      </c>
    </row>
    <row r="2" spans="1:21" ht="15.75">
      <c r="B2" s="5" t="s">
        <v>98</v>
      </c>
      <c r="C2" s="6"/>
      <c r="D2" s="6"/>
      <c r="E2" s="6"/>
      <c r="F2" s="6"/>
      <c r="G2" s="7"/>
      <c r="H2" s="6"/>
      <c r="I2" s="6"/>
      <c r="J2" s="6"/>
      <c r="K2" s="6"/>
      <c r="L2" s="6"/>
      <c r="M2" s="8"/>
      <c r="N2" s="6"/>
      <c r="O2" s="6"/>
      <c r="P2" s="6"/>
      <c r="Q2" s="6"/>
      <c r="R2" s="6"/>
      <c r="S2" s="47"/>
      <c r="T2" s="72"/>
      <c r="U2" s="6"/>
    </row>
    <row r="3" spans="1:21">
      <c r="A3" s="6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9"/>
      <c r="T3" s="72"/>
      <c r="U3" s="6"/>
    </row>
    <row r="4" spans="1:21" ht="17.25">
      <c r="A4" s="80" t="s">
        <v>0</v>
      </c>
      <c r="B4" s="81" t="s">
        <v>1</v>
      </c>
      <c r="C4" s="81" t="s">
        <v>2</v>
      </c>
      <c r="D4" s="81" t="s">
        <v>82</v>
      </c>
      <c r="E4" s="81" t="s">
        <v>79</v>
      </c>
      <c r="F4" s="81" t="s">
        <v>3</v>
      </c>
      <c r="G4" s="81" t="s">
        <v>80</v>
      </c>
      <c r="H4" s="81" t="s">
        <v>4</v>
      </c>
      <c r="I4" s="81" t="s">
        <v>5</v>
      </c>
      <c r="J4" s="81" t="s">
        <v>81</v>
      </c>
      <c r="K4" s="81" t="s">
        <v>6</v>
      </c>
      <c r="L4" s="81" t="s">
        <v>7</v>
      </c>
      <c r="M4" s="81" t="s">
        <v>8</v>
      </c>
      <c r="N4" s="81" t="s">
        <v>9</v>
      </c>
      <c r="O4" s="81" t="s">
        <v>10</v>
      </c>
      <c r="P4" s="81" t="s">
        <v>11</v>
      </c>
      <c r="Q4" s="81" t="s">
        <v>12</v>
      </c>
      <c r="R4" s="81" t="s">
        <v>13</v>
      </c>
      <c r="S4" s="81" t="s">
        <v>85</v>
      </c>
      <c r="T4" s="81" t="s">
        <v>15</v>
      </c>
      <c r="U4" s="11"/>
    </row>
    <row r="5" spans="1:21">
      <c r="A5" s="12" t="s">
        <v>16</v>
      </c>
      <c r="B5" s="54">
        <v>19644</v>
      </c>
      <c r="C5" s="54">
        <v>33225</v>
      </c>
      <c r="D5" s="54">
        <v>8636</v>
      </c>
      <c r="E5" s="54">
        <v>6077</v>
      </c>
      <c r="F5" s="54">
        <v>64660</v>
      </c>
      <c r="G5" s="54">
        <v>289617</v>
      </c>
      <c r="H5" s="54">
        <v>2618</v>
      </c>
      <c r="I5" s="54">
        <v>6065</v>
      </c>
      <c r="J5" s="54">
        <v>63994</v>
      </c>
      <c r="K5" s="54">
        <v>4153</v>
      </c>
      <c r="L5" s="54">
        <v>14712</v>
      </c>
      <c r="M5" s="55">
        <v>9503</v>
      </c>
      <c r="N5" s="54">
        <v>177304</v>
      </c>
      <c r="O5" s="54">
        <v>51655</v>
      </c>
      <c r="P5" s="54">
        <v>22662</v>
      </c>
      <c r="Q5" s="54">
        <v>7653</v>
      </c>
      <c r="R5" s="54">
        <v>19582</v>
      </c>
      <c r="S5" s="56">
        <f t="shared" ref="S5:S41" si="0">SUM(B5:R5)</f>
        <v>801760</v>
      </c>
      <c r="T5" s="49">
        <f t="shared" ref="T5:T41" si="1">S5/S$65*100</f>
        <v>5.7456425210798132</v>
      </c>
      <c r="U5" s="6"/>
    </row>
    <row r="6" spans="1:21">
      <c r="A6" s="14" t="s">
        <v>77</v>
      </c>
      <c r="B6" s="57">
        <v>63</v>
      </c>
      <c r="C6" s="57">
        <v>68</v>
      </c>
      <c r="D6" s="57">
        <v>3</v>
      </c>
      <c r="E6" s="57"/>
      <c r="F6" s="57">
        <v>151</v>
      </c>
      <c r="G6" s="57">
        <v>909</v>
      </c>
      <c r="H6" s="57"/>
      <c r="I6" s="57"/>
      <c r="J6" s="57"/>
      <c r="K6" s="57">
        <v>30</v>
      </c>
      <c r="L6" s="57">
        <v>38</v>
      </c>
      <c r="M6" s="58">
        <v>4</v>
      </c>
      <c r="N6" s="59">
        <v>1948</v>
      </c>
      <c r="O6" s="57">
        <v>42</v>
      </c>
      <c r="P6" s="57">
        <v>49</v>
      </c>
      <c r="Q6" s="57">
        <v>3</v>
      </c>
      <c r="R6" s="57"/>
      <c r="S6" s="60">
        <f t="shared" si="0"/>
        <v>3308</v>
      </c>
      <c r="T6" s="50">
        <f t="shared" si="1"/>
        <v>2.3706078452070473E-2</v>
      </c>
      <c r="U6" s="6"/>
    </row>
    <row r="7" spans="1:21">
      <c r="A7" s="14" t="s">
        <v>18</v>
      </c>
      <c r="B7" s="57">
        <v>16</v>
      </c>
      <c r="C7" s="57">
        <v>18</v>
      </c>
      <c r="D7" s="57"/>
      <c r="E7" s="57"/>
      <c r="F7" s="57"/>
      <c r="G7" s="57">
        <v>253</v>
      </c>
      <c r="H7" s="57"/>
      <c r="I7" s="61"/>
      <c r="J7" s="57">
        <v>94</v>
      </c>
      <c r="K7" s="57">
        <v>14</v>
      </c>
      <c r="L7" s="57">
        <v>9</v>
      </c>
      <c r="M7" s="58">
        <v>2</v>
      </c>
      <c r="N7" s="57"/>
      <c r="O7" s="57">
        <v>16</v>
      </c>
      <c r="P7" s="57">
        <v>29</v>
      </c>
      <c r="Q7" s="57">
        <v>1</v>
      </c>
      <c r="R7" s="57"/>
      <c r="S7" s="60">
        <f t="shared" si="0"/>
        <v>452</v>
      </c>
      <c r="T7" s="50">
        <f t="shared" si="1"/>
        <v>3.2391618682998348E-3</v>
      </c>
      <c r="U7" s="6"/>
    </row>
    <row r="8" spans="1:21">
      <c r="A8" s="14" t="s">
        <v>69</v>
      </c>
      <c r="B8" s="57">
        <v>1253</v>
      </c>
      <c r="C8" s="57">
        <v>3075</v>
      </c>
      <c r="D8" s="57">
        <v>133</v>
      </c>
      <c r="E8" s="57">
        <v>131</v>
      </c>
      <c r="F8" s="57">
        <v>5396</v>
      </c>
      <c r="G8" s="57">
        <v>30203</v>
      </c>
      <c r="H8" s="57">
        <v>32</v>
      </c>
      <c r="I8" s="57">
        <v>70</v>
      </c>
      <c r="J8" s="57">
        <v>5135</v>
      </c>
      <c r="K8" s="57">
        <v>805</v>
      </c>
      <c r="L8" s="57">
        <v>1162</v>
      </c>
      <c r="M8" s="58">
        <v>132</v>
      </c>
      <c r="N8" s="57">
        <v>13097</v>
      </c>
      <c r="O8" s="57">
        <v>2204</v>
      </c>
      <c r="P8" s="57">
        <v>1336</v>
      </c>
      <c r="Q8" s="57">
        <v>417</v>
      </c>
      <c r="R8" s="57">
        <v>4240</v>
      </c>
      <c r="S8" s="60">
        <f t="shared" si="0"/>
        <v>68821</v>
      </c>
      <c r="T8" s="50">
        <f t="shared" si="1"/>
        <v>0.49319105959792686</v>
      </c>
      <c r="U8" s="6"/>
    </row>
    <row r="9" spans="1:21">
      <c r="A9" s="14" t="s">
        <v>19</v>
      </c>
      <c r="B9" s="57">
        <v>15281</v>
      </c>
      <c r="C9" s="57">
        <v>6501</v>
      </c>
      <c r="D9" s="57">
        <v>5313</v>
      </c>
      <c r="E9" s="57">
        <v>2332</v>
      </c>
      <c r="F9" s="57">
        <v>21648</v>
      </c>
      <c r="G9" s="57">
        <v>97585</v>
      </c>
      <c r="H9" s="57">
        <v>1780</v>
      </c>
      <c r="I9" s="57">
        <v>2791</v>
      </c>
      <c r="J9" s="57">
        <v>15476</v>
      </c>
      <c r="K9" s="57">
        <v>852</v>
      </c>
      <c r="L9" s="57">
        <v>8447</v>
      </c>
      <c r="M9" s="58">
        <v>8319</v>
      </c>
      <c r="N9" s="57">
        <v>47456</v>
      </c>
      <c r="O9" s="57">
        <v>77643</v>
      </c>
      <c r="P9" s="57">
        <v>5707</v>
      </c>
      <c r="Q9" s="57"/>
      <c r="R9" s="57">
        <v>10136</v>
      </c>
      <c r="S9" s="60">
        <f t="shared" si="0"/>
        <v>327267</v>
      </c>
      <c r="T9" s="50">
        <f t="shared" si="1"/>
        <v>2.3452893521081464</v>
      </c>
      <c r="U9" s="6"/>
    </row>
    <row r="10" spans="1:21">
      <c r="A10" s="14" t="s">
        <v>20</v>
      </c>
      <c r="B10" s="57">
        <v>20930</v>
      </c>
      <c r="C10" s="57">
        <v>19007</v>
      </c>
      <c r="D10" s="57">
        <v>13595</v>
      </c>
      <c r="E10" s="57">
        <v>10805</v>
      </c>
      <c r="F10" s="57">
        <v>23621</v>
      </c>
      <c r="G10" s="57">
        <v>186172</v>
      </c>
      <c r="H10" s="57">
        <v>1428</v>
      </c>
      <c r="I10" s="57">
        <v>9447</v>
      </c>
      <c r="J10" s="57">
        <v>19638</v>
      </c>
      <c r="K10" s="57">
        <v>1921</v>
      </c>
      <c r="L10" s="57">
        <v>15346</v>
      </c>
      <c r="M10" s="58">
        <v>2879</v>
      </c>
      <c r="N10" s="57">
        <v>80372</v>
      </c>
      <c r="O10" s="57">
        <v>24278</v>
      </c>
      <c r="P10" s="57">
        <v>16199</v>
      </c>
      <c r="Q10" s="57">
        <v>7774</v>
      </c>
      <c r="R10" s="57">
        <v>21060</v>
      </c>
      <c r="S10" s="60">
        <f t="shared" si="0"/>
        <v>474472</v>
      </c>
      <c r="T10" s="50">
        <f t="shared" si="1"/>
        <v>3.4002026769379627</v>
      </c>
      <c r="U10" s="6"/>
    </row>
    <row r="11" spans="1:21">
      <c r="A11" s="14" t="s">
        <v>21</v>
      </c>
      <c r="B11" s="57">
        <v>56529</v>
      </c>
      <c r="C11" s="57">
        <v>53021</v>
      </c>
      <c r="D11" s="57">
        <v>26395</v>
      </c>
      <c r="E11" s="57">
        <v>13197</v>
      </c>
      <c r="F11" s="57">
        <v>143106</v>
      </c>
      <c r="G11" s="57">
        <v>656025</v>
      </c>
      <c r="H11" s="57">
        <v>6430</v>
      </c>
      <c r="I11" s="57">
        <v>15408</v>
      </c>
      <c r="J11" s="57">
        <v>139153</v>
      </c>
      <c r="K11" s="57">
        <v>5775</v>
      </c>
      <c r="L11" s="57">
        <v>43819</v>
      </c>
      <c r="M11" s="58">
        <v>17031</v>
      </c>
      <c r="N11" s="57">
        <v>207028</v>
      </c>
      <c r="O11" s="57">
        <v>89012</v>
      </c>
      <c r="P11" s="57">
        <v>57823</v>
      </c>
      <c r="Q11" s="57">
        <v>26574</v>
      </c>
      <c r="R11" s="57">
        <v>42142</v>
      </c>
      <c r="S11" s="60">
        <f t="shared" si="0"/>
        <v>1598468</v>
      </c>
      <c r="T11" s="50">
        <f t="shared" si="1"/>
        <v>11.455080958622789</v>
      </c>
      <c r="U11" s="6"/>
    </row>
    <row r="12" spans="1:21">
      <c r="A12" s="16" t="s">
        <v>23</v>
      </c>
      <c r="B12" s="62">
        <f t="shared" ref="B12:R12" si="2">SUM(B5:B11)</f>
        <v>113716</v>
      </c>
      <c r="C12" s="62">
        <f t="shared" si="2"/>
        <v>114915</v>
      </c>
      <c r="D12" s="62">
        <f t="shared" si="2"/>
        <v>54075</v>
      </c>
      <c r="E12" s="62">
        <f t="shared" si="2"/>
        <v>32542</v>
      </c>
      <c r="F12" s="62">
        <f t="shared" si="2"/>
        <v>258582</v>
      </c>
      <c r="G12" s="62">
        <f t="shared" si="2"/>
        <v>1260764</v>
      </c>
      <c r="H12" s="62">
        <f>SUM(H5:H11)</f>
        <v>12288</v>
      </c>
      <c r="I12" s="62">
        <f t="shared" si="2"/>
        <v>33781</v>
      </c>
      <c r="J12" s="62">
        <f>SUM(J5:J11)</f>
        <v>243490</v>
      </c>
      <c r="K12" s="62">
        <f t="shared" si="2"/>
        <v>13550</v>
      </c>
      <c r="L12" s="62">
        <f t="shared" si="2"/>
        <v>83533</v>
      </c>
      <c r="M12" s="62">
        <f t="shared" si="2"/>
        <v>37870</v>
      </c>
      <c r="N12" s="62">
        <f t="shared" si="2"/>
        <v>527205</v>
      </c>
      <c r="O12" s="62">
        <f t="shared" si="2"/>
        <v>244850</v>
      </c>
      <c r="P12" s="62">
        <f t="shared" si="2"/>
        <v>103805</v>
      </c>
      <c r="Q12" s="62">
        <f t="shared" si="2"/>
        <v>42422</v>
      </c>
      <c r="R12" s="62">
        <f t="shared" si="2"/>
        <v>97160</v>
      </c>
      <c r="S12" s="60">
        <f t="shared" si="0"/>
        <v>3274548</v>
      </c>
      <c r="T12" s="51">
        <f t="shared" si="1"/>
        <v>23.466351808667007</v>
      </c>
      <c r="U12" s="6"/>
    </row>
    <row r="13" spans="1:21">
      <c r="A13" s="14" t="s">
        <v>24</v>
      </c>
      <c r="B13" s="57">
        <v>7220</v>
      </c>
      <c r="C13" s="57">
        <v>25154</v>
      </c>
      <c r="D13" s="57">
        <v>12498</v>
      </c>
      <c r="E13" s="57">
        <v>1742</v>
      </c>
      <c r="F13" s="57">
        <v>195012</v>
      </c>
      <c r="G13" s="57">
        <v>48726</v>
      </c>
      <c r="H13" s="57">
        <v>3781</v>
      </c>
      <c r="I13" s="57">
        <v>1408</v>
      </c>
      <c r="J13" s="57">
        <v>60517</v>
      </c>
      <c r="K13" s="57">
        <v>1516</v>
      </c>
      <c r="L13" s="57">
        <v>13078</v>
      </c>
      <c r="M13" s="58">
        <v>9914</v>
      </c>
      <c r="N13" s="57">
        <v>62991</v>
      </c>
      <c r="O13" s="57">
        <v>60607</v>
      </c>
      <c r="P13" s="57">
        <v>4827</v>
      </c>
      <c r="Q13" s="57">
        <v>1855</v>
      </c>
      <c r="R13" s="57">
        <v>9071</v>
      </c>
      <c r="S13" s="60">
        <f t="shared" si="0"/>
        <v>519917</v>
      </c>
      <c r="T13" s="50">
        <f t="shared" si="1"/>
        <v>3.7258746041611621</v>
      </c>
      <c r="U13" s="6"/>
    </row>
    <row r="14" spans="1:21">
      <c r="A14" s="14" t="s">
        <v>87</v>
      </c>
      <c r="B14" s="57">
        <v>481</v>
      </c>
      <c r="C14" s="57">
        <v>2643</v>
      </c>
      <c r="D14" s="57">
        <v>674</v>
      </c>
      <c r="E14" s="57"/>
      <c r="F14" s="57">
        <v>28081</v>
      </c>
      <c r="G14" s="57">
        <v>4377</v>
      </c>
      <c r="H14" s="57"/>
      <c r="I14" s="57">
        <v>13</v>
      </c>
      <c r="J14" s="57">
        <v>3704</v>
      </c>
      <c r="K14" s="57">
        <v>314</v>
      </c>
      <c r="L14" s="57">
        <v>1090</v>
      </c>
      <c r="M14" s="58">
        <v>706</v>
      </c>
      <c r="N14" s="57">
        <v>15898</v>
      </c>
      <c r="O14" s="57">
        <v>4548</v>
      </c>
      <c r="P14" s="57">
        <v>112</v>
      </c>
      <c r="Q14" s="57">
        <v>200</v>
      </c>
      <c r="R14" s="57"/>
      <c r="S14" s="60">
        <f t="shared" si="0"/>
        <v>62841</v>
      </c>
      <c r="T14" s="50">
        <f t="shared" si="1"/>
        <v>0.45033666142882728</v>
      </c>
      <c r="U14" s="6"/>
    </row>
    <row r="15" spans="1:21">
      <c r="A15" s="14" t="s">
        <v>25</v>
      </c>
      <c r="B15" s="57">
        <v>10061</v>
      </c>
      <c r="C15" s="57">
        <v>37593</v>
      </c>
      <c r="D15" s="57">
        <v>22175</v>
      </c>
      <c r="E15" s="57">
        <v>2468</v>
      </c>
      <c r="F15" s="57">
        <v>335881</v>
      </c>
      <c r="G15" s="57">
        <v>56760</v>
      </c>
      <c r="H15" s="57">
        <v>5582</v>
      </c>
      <c r="I15" s="57">
        <v>4133</v>
      </c>
      <c r="J15" s="57">
        <v>94142</v>
      </c>
      <c r="K15" s="57">
        <v>2419</v>
      </c>
      <c r="L15" s="57">
        <v>28130</v>
      </c>
      <c r="M15" s="58">
        <v>19854</v>
      </c>
      <c r="N15" s="57">
        <v>98529</v>
      </c>
      <c r="O15" s="57">
        <v>83523</v>
      </c>
      <c r="P15" s="57">
        <v>10595</v>
      </c>
      <c r="Q15" s="57">
        <v>4798</v>
      </c>
      <c r="R15" s="57">
        <v>10386</v>
      </c>
      <c r="S15" s="60">
        <f t="shared" si="0"/>
        <v>827029</v>
      </c>
      <c r="T15" s="50">
        <f t="shared" si="1"/>
        <v>5.9267274353498767</v>
      </c>
      <c r="U15" s="6"/>
    </row>
    <row r="16" spans="1:21">
      <c r="A16" s="16" t="s">
        <v>26</v>
      </c>
      <c r="B16" s="62">
        <f>+B15+B14+B13</f>
        <v>17762</v>
      </c>
      <c r="C16" s="62">
        <f>+C13+C14+C15</f>
        <v>65390</v>
      </c>
      <c r="D16" s="62">
        <f>+D15+D13+D14</f>
        <v>35347</v>
      </c>
      <c r="E16" s="62">
        <f>+E15+E13</f>
        <v>4210</v>
      </c>
      <c r="F16" s="62">
        <f>+F15+F13+F14</f>
        <v>558974</v>
      </c>
      <c r="G16" s="62">
        <f>+G15+G13+G14</f>
        <v>109863</v>
      </c>
      <c r="H16" s="62">
        <f>+H15+H13</f>
        <v>9363</v>
      </c>
      <c r="I16" s="62">
        <f t="shared" ref="I16:N16" si="3">+I15+I13+I14</f>
        <v>5554</v>
      </c>
      <c r="J16" s="62">
        <f t="shared" si="3"/>
        <v>158363</v>
      </c>
      <c r="K16" s="62">
        <f t="shared" si="3"/>
        <v>4249</v>
      </c>
      <c r="L16" s="62">
        <f t="shared" si="3"/>
        <v>42298</v>
      </c>
      <c r="M16" s="62">
        <f t="shared" si="3"/>
        <v>30474</v>
      </c>
      <c r="N16" s="62">
        <f t="shared" si="3"/>
        <v>177418</v>
      </c>
      <c r="O16" s="62">
        <f>+O13+O14+O15</f>
        <v>148678</v>
      </c>
      <c r="P16" s="62">
        <f>+P15+P13+P14</f>
        <v>15534</v>
      </c>
      <c r="Q16" s="62">
        <f>+Q15+Q13+Q14</f>
        <v>6853</v>
      </c>
      <c r="R16" s="62">
        <f>+R15+R13</f>
        <v>19457</v>
      </c>
      <c r="S16" s="60">
        <f t="shared" si="0"/>
        <v>1409787</v>
      </c>
      <c r="T16" s="51">
        <f t="shared" si="1"/>
        <v>10.102938700939866</v>
      </c>
      <c r="U16" s="6"/>
    </row>
    <row r="17" spans="1:24">
      <c r="A17" s="16" t="s">
        <v>27</v>
      </c>
      <c r="B17" s="62">
        <v>19274</v>
      </c>
      <c r="C17" s="62">
        <v>25316</v>
      </c>
      <c r="D17" s="62">
        <v>14173</v>
      </c>
      <c r="E17" s="62">
        <v>9515</v>
      </c>
      <c r="F17" s="62">
        <v>79173</v>
      </c>
      <c r="G17" s="62">
        <v>239766</v>
      </c>
      <c r="H17" s="62">
        <v>3736</v>
      </c>
      <c r="I17" s="62">
        <v>14595</v>
      </c>
      <c r="J17" s="62">
        <v>124314</v>
      </c>
      <c r="K17" s="62">
        <v>2401</v>
      </c>
      <c r="L17" s="62">
        <v>21365</v>
      </c>
      <c r="M17" s="63">
        <v>8150</v>
      </c>
      <c r="N17" s="62">
        <v>318316</v>
      </c>
      <c r="O17" s="62">
        <v>60114</v>
      </c>
      <c r="P17" s="62">
        <v>12628</v>
      </c>
      <c r="Q17" s="62">
        <v>8326</v>
      </c>
      <c r="R17" s="62">
        <v>13083</v>
      </c>
      <c r="S17" s="60">
        <f t="shared" si="0"/>
        <v>974245</v>
      </c>
      <c r="T17" s="51">
        <f t="shared" si="1"/>
        <v>6.9817195893402042</v>
      </c>
      <c r="U17" s="6"/>
    </row>
    <row r="18" spans="1:24">
      <c r="A18" s="16" t="s">
        <v>28</v>
      </c>
      <c r="B18" s="62">
        <v>3639</v>
      </c>
      <c r="C18" s="62">
        <v>18611</v>
      </c>
      <c r="D18" s="62">
        <v>2783</v>
      </c>
      <c r="E18" s="62">
        <v>7347</v>
      </c>
      <c r="F18" s="62">
        <v>15604</v>
      </c>
      <c r="G18" s="62">
        <v>39923</v>
      </c>
      <c r="H18" s="62">
        <v>1458</v>
      </c>
      <c r="I18" s="62">
        <v>1996</v>
      </c>
      <c r="J18" s="62">
        <v>17000</v>
      </c>
      <c r="K18" s="62">
        <v>1304</v>
      </c>
      <c r="L18" s="62">
        <v>14470</v>
      </c>
      <c r="M18" s="63">
        <v>4363</v>
      </c>
      <c r="N18" s="62">
        <v>46696</v>
      </c>
      <c r="O18" s="62">
        <v>13384</v>
      </c>
      <c r="P18" s="62">
        <v>71238</v>
      </c>
      <c r="Q18" s="62">
        <v>8777</v>
      </c>
      <c r="R18" s="62">
        <v>7130</v>
      </c>
      <c r="S18" s="60">
        <f t="shared" si="0"/>
        <v>275723</v>
      </c>
      <c r="T18" s="51">
        <f t="shared" si="1"/>
        <v>1.975910238524857</v>
      </c>
      <c r="U18" s="6"/>
    </row>
    <row r="19" spans="1:24" s="38" customFormat="1">
      <c r="A19" s="39" t="s">
        <v>75</v>
      </c>
      <c r="B19" s="57">
        <v>9</v>
      </c>
      <c r="C19" s="57">
        <v>8</v>
      </c>
      <c r="D19" s="57">
        <v>2</v>
      </c>
      <c r="E19" s="57"/>
      <c r="F19" s="57"/>
      <c r="G19" s="57">
        <v>318</v>
      </c>
      <c r="H19" s="57"/>
      <c r="I19" s="57"/>
      <c r="J19" s="57">
        <v>16</v>
      </c>
      <c r="K19" s="57">
        <v>27</v>
      </c>
      <c r="L19" s="57">
        <v>12</v>
      </c>
      <c r="M19" s="58"/>
      <c r="N19" s="57"/>
      <c r="O19" s="57">
        <v>0</v>
      </c>
      <c r="P19" s="57">
        <v>56</v>
      </c>
      <c r="Q19" s="57">
        <v>1</v>
      </c>
      <c r="R19" s="57"/>
      <c r="S19" s="64">
        <f t="shared" si="0"/>
        <v>449</v>
      </c>
      <c r="T19" s="52">
        <f t="shared" si="1"/>
        <v>3.217663006342093E-3</v>
      </c>
      <c r="U19" s="27"/>
      <c r="X19" s="2"/>
    </row>
    <row r="20" spans="1:24">
      <c r="A20" s="14" t="s">
        <v>29</v>
      </c>
      <c r="B20" s="57">
        <v>15</v>
      </c>
      <c r="C20" s="57">
        <v>24</v>
      </c>
      <c r="D20" s="57">
        <v>2</v>
      </c>
      <c r="E20" s="57"/>
      <c r="F20" s="57">
        <v>137</v>
      </c>
      <c r="G20" s="57">
        <v>752</v>
      </c>
      <c r="H20" s="57">
        <v>130</v>
      </c>
      <c r="I20" s="57"/>
      <c r="J20" s="57">
        <v>36</v>
      </c>
      <c r="K20" s="57">
        <v>59</v>
      </c>
      <c r="L20" s="57">
        <v>4</v>
      </c>
      <c r="M20" s="58"/>
      <c r="N20" s="57">
        <v>4</v>
      </c>
      <c r="O20" s="57">
        <v>1</v>
      </c>
      <c r="P20" s="57">
        <v>116</v>
      </c>
      <c r="Q20" s="57">
        <v>2</v>
      </c>
      <c r="R20" s="57">
        <v>249</v>
      </c>
      <c r="S20" s="60">
        <f t="shared" si="0"/>
        <v>1531</v>
      </c>
      <c r="T20" s="50">
        <f t="shared" si="1"/>
        <v>1.0971585885767804E-2</v>
      </c>
      <c r="U20" s="6"/>
    </row>
    <row r="21" spans="1:24">
      <c r="A21" s="14" t="s">
        <v>30</v>
      </c>
      <c r="B21" s="57">
        <v>22545</v>
      </c>
      <c r="C21" s="57">
        <v>38470</v>
      </c>
      <c r="D21" s="57">
        <v>14152</v>
      </c>
      <c r="E21" s="57">
        <v>7046</v>
      </c>
      <c r="F21" s="57">
        <v>68281</v>
      </c>
      <c r="G21" s="57">
        <v>243792</v>
      </c>
      <c r="H21" s="57">
        <v>7054</v>
      </c>
      <c r="I21" s="57">
        <v>7887</v>
      </c>
      <c r="J21" s="57">
        <v>95074</v>
      </c>
      <c r="K21" s="57">
        <v>2313</v>
      </c>
      <c r="L21" s="57">
        <v>32500</v>
      </c>
      <c r="M21" s="58">
        <v>12066</v>
      </c>
      <c r="N21" s="57">
        <v>250955</v>
      </c>
      <c r="O21" s="57">
        <v>89383</v>
      </c>
      <c r="P21" s="57">
        <v>8050</v>
      </c>
      <c r="Q21" s="57">
        <v>3708</v>
      </c>
      <c r="R21" s="57">
        <v>13186</v>
      </c>
      <c r="S21" s="60">
        <f t="shared" si="0"/>
        <v>916462</v>
      </c>
      <c r="T21" s="50">
        <f t="shared" si="1"/>
        <v>6.5676300091721318</v>
      </c>
      <c r="U21" s="6"/>
    </row>
    <row r="22" spans="1:24">
      <c r="A22" s="14" t="s">
        <v>22</v>
      </c>
      <c r="B22" s="57"/>
      <c r="C22" s="57"/>
      <c r="D22" s="57"/>
      <c r="E22" s="57"/>
      <c r="F22" s="57">
        <v>35</v>
      </c>
      <c r="G22" s="57"/>
      <c r="H22" s="57"/>
      <c r="I22" s="57"/>
      <c r="J22" s="57"/>
      <c r="K22" s="57"/>
      <c r="L22" s="57"/>
      <c r="M22" s="58"/>
      <c r="N22" s="57"/>
      <c r="O22" s="57"/>
      <c r="P22" s="57"/>
      <c r="Q22" s="57"/>
      <c r="R22" s="57"/>
      <c r="S22" s="60">
        <f t="shared" si="0"/>
        <v>35</v>
      </c>
      <c r="T22" s="50">
        <f t="shared" si="1"/>
        <v>2.5082005617365976E-4</v>
      </c>
      <c r="U22" s="6"/>
    </row>
    <row r="23" spans="1:24">
      <c r="A23" s="16" t="s">
        <v>31</v>
      </c>
      <c r="B23" s="62">
        <f t="shared" ref="B23:I23" si="4">SUM(B19:B22)</f>
        <v>22569</v>
      </c>
      <c r="C23" s="62">
        <f t="shared" si="4"/>
        <v>38502</v>
      </c>
      <c r="D23" s="62">
        <f t="shared" si="4"/>
        <v>14156</v>
      </c>
      <c r="E23" s="62">
        <f t="shared" si="4"/>
        <v>7046</v>
      </c>
      <c r="F23" s="62">
        <f t="shared" si="4"/>
        <v>68453</v>
      </c>
      <c r="G23" s="62">
        <f t="shared" si="4"/>
        <v>244862</v>
      </c>
      <c r="H23" s="62">
        <f t="shared" si="4"/>
        <v>7184</v>
      </c>
      <c r="I23" s="62">
        <f t="shared" si="4"/>
        <v>7887</v>
      </c>
      <c r="J23" s="62">
        <f>SUM(J19:J22)</f>
        <v>95126</v>
      </c>
      <c r="K23" s="62">
        <f>SUM(K19:K22)</f>
        <v>2399</v>
      </c>
      <c r="L23" s="62">
        <f t="shared" ref="L23:R23" si="5">SUM(L19:L22)</f>
        <v>32516</v>
      </c>
      <c r="M23" s="62">
        <f t="shared" si="5"/>
        <v>12066</v>
      </c>
      <c r="N23" s="62">
        <f t="shared" si="5"/>
        <v>250959</v>
      </c>
      <c r="O23" s="62">
        <f t="shared" si="5"/>
        <v>89384</v>
      </c>
      <c r="P23" s="62">
        <f t="shared" si="5"/>
        <v>8222</v>
      </c>
      <c r="Q23" s="62">
        <f t="shared" si="5"/>
        <v>3711</v>
      </c>
      <c r="R23" s="62">
        <f t="shared" si="5"/>
        <v>13435</v>
      </c>
      <c r="S23" s="60">
        <f t="shared" si="0"/>
        <v>918477</v>
      </c>
      <c r="T23" s="51">
        <f t="shared" si="1"/>
        <v>6.5820700781204149</v>
      </c>
      <c r="U23" s="9"/>
    </row>
    <row r="24" spans="1:24" s="3" customFormat="1">
      <c r="A24" s="20" t="s">
        <v>32</v>
      </c>
      <c r="B24" s="57">
        <v>7899</v>
      </c>
      <c r="C24" s="57">
        <v>17646</v>
      </c>
      <c r="D24" s="57">
        <v>3769</v>
      </c>
      <c r="E24" s="57">
        <v>1481</v>
      </c>
      <c r="F24" s="57">
        <v>110529</v>
      </c>
      <c r="G24" s="57">
        <v>49124</v>
      </c>
      <c r="H24" s="57">
        <v>621</v>
      </c>
      <c r="I24" s="57">
        <v>4386</v>
      </c>
      <c r="J24" s="57">
        <v>47992</v>
      </c>
      <c r="K24" s="57">
        <v>656</v>
      </c>
      <c r="L24" s="57">
        <v>4217</v>
      </c>
      <c r="M24" s="58">
        <v>5414</v>
      </c>
      <c r="N24" s="57">
        <v>26499</v>
      </c>
      <c r="O24" s="57">
        <v>44599</v>
      </c>
      <c r="P24" s="57">
        <v>5135</v>
      </c>
      <c r="Q24" s="57">
        <v>305</v>
      </c>
      <c r="R24" s="57">
        <v>7422</v>
      </c>
      <c r="S24" s="60">
        <f t="shared" si="0"/>
        <v>337694</v>
      </c>
      <c r="T24" s="50">
        <f t="shared" si="1"/>
        <v>2.420012229985939</v>
      </c>
      <c r="U24" s="21"/>
      <c r="X24" s="2"/>
    </row>
    <row r="25" spans="1:24" s="3" customFormat="1">
      <c r="A25" s="20" t="s">
        <v>33</v>
      </c>
      <c r="B25" s="57">
        <v>19073</v>
      </c>
      <c r="C25" s="57">
        <v>55871</v>
      </c>
      <c r="D25" s="57">
        <v>14556</v>
      </c>
      <c r="E25" s="57">
        <v>4210</v>
      </c>
      <c r="F25" s="57">
        <v>407930</v>
      </c>
      <c r="G25" s="57">
        <v>125300</v>
      </c>
      <c r="H25" s="57">
        <v>3021</v>
      </c>
      <c r="I25" s="57">
        <v>8379</v>
      </c>
      <c r="J25" s="57">
        <v>118428</v>
      </c>
      <c r="K25" s="57">
        <v>4530</v>
      </c>
      <c r="L25" s="57">
        <v>35037</v>
      </c>
      <c r="M25" s="58">
        <v>25861</v>
      </c>
      <c r="N25" s="57">
        <v>85102</v>
      </c>
      <c r="O25" s="57">
        <v>90503</v>
      </c>
      <c r="P25" s="57">
        <v>14374</v>
      </c>
      <c r="Q25" s="57">
        <v>2949</v>
      </c>
      <c r="R25" s="57">
        <v>14301</v>
      </c>
      <c r="S25" s="60">
        <f t="shared" si="0"/>
        <v>1029425</v>
      </c>
      <c r="T25" s="50">
        <f t="shared" si="1"/>
        <v>7.377155323616277</v>
      </c>
      <c r="U25" s="21"/>
      <c r="X25" s="2"/>
    </row>
    <row r="26" spans="1:24">
      <c r="A26" s="16" t="s">
        <v>34</v>
      </c>
      <c r="B26" s="62">
        <f t="shared" ref="B26:R26" si="6">+B25+B24</f>
        <v>26972</v>
      </c>
      <c r="C26" s="62">
        <f t="shared" si="6"/>
        <v>73517</v>
      </c>
      <c r="D26" s="62">
        <f t="shared" si="6"/>
        <v>18325</v>
      </c>
      <c r="E26" s="62">
        <f t="shared" si="6"/>
        <v>5691</v>
      </c>
      <c r="F26" s="62">
        <f t="shared" si="6"/>
        <v>518459</v>
      </c>
      <c r="G26" s="62">
        <f t="shared" si="6"/>
        <v>174424</v>
      </c>
      <c r="H26" s="62">
        <f t="shared" si="6"/>
        <v>3642</v>
      </c>
      <c r="I26" s="62">
        <f t="shared" si="6"/>
        <v>12765</v>
      </c>
      <c r="J26" s="62">
        <f t="shared" si="6"/>
        <v>166420</v>
      </c>
      <c r="K26" s="62">
        <f t="shared" si="6"/>
        <v>5186</v>
      </c>
      <c r="L26" s="62">
        <f t="shared" si="6"/>
        <v>39254</v>
      </c>
      <c r="M26" s="62">
        <f t="shared" si="6"/>
        <v>31275</v>
      </c>
      <c r="N26" s="62">
        <f t="shared" si="6"/>
        <v>111601</v>
      </c>
      <c r="O26" s="62">
        <f t="shared" si="6"/>
        <v>135102</v>
      </c>
      <c r="P26" s="62">
        <f t="shared" si="6"/>
        <v>19509</v>
      </c>
      <c r="Q26" s="62">
        <f t="shared" si="6"/>
        <v>3254</v>
      </c>
      <c r="R26" s="62">
        <f t="shared" si="6"/>
        <v>21723</v>
      </c>
      <c r="S26" s="60">
        <f t="shared" si="0"/>
        <v>1367119</v>
      </c>
      <c r="T26" s="51">
        <f t="shared" si="1"/>
        <v>9.7971675536022165</v>
      </c>
      <c r="U26" s="6"/>
    </row>
    <row r="27" spans="1:24">
      <c r="A27" s="14" t="s">
        <v>36</v>
      </c>
      <c r="B27" s="57">
        <v>2432</v>
      </c>
      <c r="C27" s="57">
        <v>3619</v>
      </c>
      <c r="D27" s="57">
        <v>2755</v>
      </c>
      <c r="E27" s="57">
        <v>3739</v>
      </c>
      <c r="F27" s="57"/>
      <c r="G27" s="57">
        <v>25331</v>
      </c>
      <c r="H27" s="57">
        <v>697</v>
      </c>
      <c r="I27" s="57">
        <v>1590</v>
      </c>
      <c r="J27" s="57">
        <v>9596</v>
      </c>
      <c r="K27" s="57">
        <v>324</v>
      </c>
      <c r="L27" s="57">
        <v>1718</v>
      </c>
      <c r="M27" s="58">
        <v>2266</v>
      </c>
      <c r="N27" s="57">
        <v>59106</v>
      </c>
      <c r="O27" s="57">
        <v>9468</v>
      </c>
      <c r="P27" s="57">
        <v>3766</v>
      </c>
      <c r="Q27" s="57">
        <v>1833</v>
      </c>
      <c r="R27" s="57">
        <v>4773</v>
      </c>
      <c r="S27" s="60">
        <f t="shared" si="0"/>
        <v>133013</v>
      </c>
      <c r="T27" s="50">
        <f t="shared" si="1"/>
        <v>0.95320937519505733</v>
      </c>
      <c r="U27" s="6"/>
    </row>
    <row r="28" spans="1:24">
      <c r="A28" s="14" t="s">
        <v>37</v>
      </c>
      <c r="B28" s="57">
        <v>447</v>
      </c>
      <c r="C28" s="57">
        <v>1723</v>
      </c>
      <c r="D28" s="57">
        <v>0</v>
      </c>
      <c r="E28" s="57">
        <v>230</v>
      </c>
      <c r="F28" s="57">
        <v>5100</v>
      </c>
      <c r="G28" s="57">
        <v>2456</v>
      </c>
      <c r="H28" s="57">
        <v>42</v>
      </c>
      <c r="I28" s="57">
        <v>592</v>
      </c>
      <c r="J28" s="57">
        <v>4150</v>
      </c>
      <c r="K28" s="57">
        <v>150</v>
      </c>
      <c r="L28" s="57">
        <v>872</v>
      </c>
      <c r="M28" s="58">
        <v>372</v>
      </c>
      <c r="N28" s="57">
        <v>13915</v>
      </c>
      <c r="O28" s="57">
        <v>5600</v>
      </c>
      <c r="P28" s="57">
        <v>1645</v>
      </c>
      <c r="Q28" s="57">
        <v>1163</v>
      </c>
      <c r="R28" s="57">
        <v>861</v>
      </c>
      <c r="S28" s="60">
        <f t="shared" si="0"/>
        <v>39318</v>
      </c>
      <c r="T28" s="50">
        <f t="shared" si="1"/>
        <v>0.28176408481817017</v>
      </c>
      <c r="U28" s="6"/>
    </row>
    <row r="29" spans="1:24">
      <c r="A29" s="14" t="s">
        <v>38</v>
      </c>
      <c r="B29" s="57">
        <v>10025</v>
      </c>
      <c r="C29" s="57">
        <v>7342</v>
      </c>
      <c r="D29" s="57">
        <v>5132</v>
      </c>
      <c r="E29" s="57">
        <v>1966</v>
      </c>
      <c r="F29" s="57"/>
      <c r="G29" s="57">
        <v>63310</v>
      </c>
      <c r="H29" s="57">
        <v>92</v>
      </c>
      <c r="I29" s="57">
        <v>3011</v>
      </c>
      <c r="J29" s="57">
        <v>10962</v>
      </c>
      <c r="K29" s="57">
        <v>561</v>
      </c>
      <c r="L29" s="57">
        <v>8781</v>
      </c>
      <c r="M29" s="58">
        <v>2615</v>
      </c>
      <c r="N29" s="57">
        <v>46609</v>
      </c>
      <c r="O29" s="57">
        <v>18274</v>
      </c>
      <c r="P29" s="57">
        <v>6607</v>
      </c>
      <c r="Q29" s="57">
        <v>6603</v>
      </c>
      <c r="R29" s="57">
        <v>10172</v>
      </c>
      <c r="S29" s="60">
        <f t="shared" si="0"/>
        <v>202062</v>
      </c>
      <c r="T29" s="50">
        <f t="shared" si="1"/>
        <v>1.4480343483017726</v>
      </c>
      <c r="U29" s="6"/>
    </row>
    <row r="30" spans="1:24">
      <c r="A30" s="14" t="s">
        <v>39</v>
      </c>
      <c r="B30" s="57">
        <v>3479</v>
      </c>
      <c r="C30" s="57">
        <v>2169</v>
      </c>
      <c r="D30" s="57">
        <v>2532</v>
      </c>
      <c r="E30" s="57">
        <v>1254</v>
      </c>
      <c r="F30" s="57"/>
      <c r="G30" s="57">
        <v>37228</v>
      </c>
      <c r="H30" s="57">
        <v>233</v>
      </c>
      <c r="I30" s="57">
        <v>942</v>
      </c>
      <c r="J30" s="57">
        <v>4221</v>
      </c>
      <c r="K30" s="57">
        <v>86</v>
      </c>
      <c r="L30" s="57">
        <v>5629</v>
      </c>
      <c r="M30" s="58">
        <v>2188</v>
      </c>
      <c r="N30" s="57">
        <v>18237</v>
      </c>
      <c r="O30" s="57">
        <v>9368</v>
      </c>
      <c r="P30" s="57">
        <v>4503</v>
      </c>
      <c r="Q30" s="57">
        <v>6662</v>
      </c>
      <c r="R30" s="57">
        <v>3873</v>
      </c>
      <c r="S30" s="60">
        <f t="shared" si="0"/>
        <v>102604</v>
      </c>
      <c r="T30" s="50">
        <f t="shared" si="1"/>
        <v>0.73528974410406245</v>
      </c>
      <c r="U30" s="6"/>
    </row>
    <row r="31" spans="1:24">
      <c r="A31" s="14" t="s">
        <v>40</v>
      </c>
      <c r="B31" s="57">
        <v>7324</v>
      </c>
      <c r="C31" s="57">
        <v>16757</v>
      </c>
      <c r="D31" s="57">
        <v>7541</v>
      </c>
      <c r="E31" s="57">
        <v>7298</v>
      </c>
      <c r="F31" s="57">
        <v>72367</v>
      </c>
      <c r="G31" s="57">
        <v>74744</v>
      </c>
      <c r="H31" s="57">
        <v>7289</v>
      </c>
      <c r="I31" s="57">
        <v>11885</v>
      </c>
      <c r="J31" s="57">
        <v>56986</v>
      </c>
      <c r="K31" s="57">
        <v>1422</v>
      </c>
      <c r="L31" s="57">
        <v>12623</v>
      </c>
      <c r="M31" s="58">
        <v>11711</v>
      </c>
      <c r="N31" s="57">
        <v>155416</v>
      </c>
      <c r="O31" s="57">
        <v>58318</v>
      </c>
      <c r="P31" s="57">
        <v>9821</v>
      </c>
      <c r="Q31" s="57">
        <v>8061</v>
      </c>
      <c r="R31" s="57">
        <v>6657</v>
      </c>
      <c r="S31" s="60">
        <f t="shared" si="0"/>
        <v>526220</v>
      </c>
      <c r="T31" s="50">
        <f t="shared" si="1"/>
        <v>3.7710437131343784</v>
      </c>
      <c r="U31" s="6"/>
    </row>
    <row r="32" spans="1:24">
      <c r="A32" s="14" t="s">
        <v>41</v>
      </c>
      <c r="B32" s="57">
        <v>477</v>
      </c>
      <c r="C32" s="57">
        <v>504</v>
      </c>
      <c r="D32" s="57">
        <v>198</v>
      </c>
      <c r="E32" s="57">
        <v>1070</v>
      </c>
      <c r="F32" s="57"/>
      <c r="G32" s="57">
        <v>6963</v>
      </c>
      <c r="H32" s="57">
        <v>41</v>
      </c>
      <c r="I32" s="57">
        <v>180</v>
      </c>
      <c r="J32" s="57">
        <v>3514</v>
      </c>
      <c r="K32" s="57">
        <v>80</v>
      </c>
      <c r="L32" s="57">
        <v>728</v>
      </c>
      <c r="M32" s="58"/>
      <c r="N32" s="57">
        <v>3612</v>
      </c>
      <c r="O32" s="57">
        <v>2023</v>
      </c>
      <c r="P32" s="57">
        <v>5058</v>
      </c>
      <c r="Q32" s="57">
        <v>2772</v>
      </c>
      <c r="R32" s="57">
        <v>5419</v>
      </c>
      <c r="S32" s="60">
        <f t="shared" si="0"/>
        <v>32639</v>
      </c>
      <c r="T32" s="50">
        <f t="shared" si="1"/>
        <v>0.23390045181291663</v>
      </c>
      <c r="U32" s="6"/>
    </row>
    <row r="33" spans="1:21">
      <c r="A33" s="14" t="s">
        <v>42</v>
      </c>
      <c r="B33" s="57">
        <v>6255</v>
      </c>
      <c r="C33" s="57">
        <v>6641</v>
      </c>
      <c r="D33" s="57">
        <v>8739</v>
      </c>
      <c r="E33" s="57">
        <v>1061</v>
      </c>
      <c r="F33" s="57"/>
      <c r="G33" s="57">
        <v>31371</v>
      </c>
      <c r="H33" s="57">
        <v>4137</v>
      </c>
      <c r="I33" s="57">
        <v>1263</v>
      </c>
      <c r="J33" s="57">
        <v>22625</v>
      </c>
      <c r="K33" s="57">
        <v>562</v>
      </c>
      <c r="L33" s="57">
        <v>8506</v>
      </c>
      <c r="M33" s="58">
        <v>254</v>
      </c>
      <c r="N33" s="57">
        <v>38167</v>
      </c>
      <c r="O33" s="57">
        <v>5797</v>
      </c>
      <c r="P33" s="57">
        <v>2749</v>
      </c>
      <c r="Q33" s="57">
        <v>2990</v>
      </c>
      <c r="R33" s="57">
        <v>7646</v>
      </c>
      <c r="S33" s="60">
        <f t="shared" si="0"/>
        <v>148763</v>
      </c>
      <c r="T33" s="50">
        <f t="shared" si="1"/>
        <v>1.0660784004732042</v>
      </c>
      <c r="U33" s="6"/>
    </row>
    <row r="34" spans="1:21">
      <c r="A34" s="14" t="s">
        <v>43</v>
      </c>
      <c r="B34" s="57">
        <v>6156</v>
      </c>
      <c r="C34" s="57">
        <v>17239</v>
      </c>
      <c r="D34" s="57">
        <v>16669</v>
      </c>
      <c r="E34" s="57">
        <v>12736</v>
      </c>
      <c r="F34" s="57">
        <v>77696</v>
      </c>
      <c r="G34" s="57">
        <v>71783</v>
      </c>
      <c r="H34" s="57">
        <v>9496</v>
      </c>
      <c r="I34" s="57">
        <v>15523</v>
      </c>
      <c r="J34" s="57">
        <v>71944</v>
      </c>
      <c r="K34" s="57">
        <v>859</v>
      </c>
      <c r="L34" s="57">
        <v>18509</v>
      </c>
      <c r="M34" s="58">
        <v>8399</v>
      </c>
      <c r="N34" s="57">
        <v>96746</v>
      </c>
      <c r="O34" s="57">
        <v>55672</v>
      </c>
      <c r="P34" s="57">
        <v>22332</v>
      </c>
      <c r="Q34" s="57">
        <v>17453</v>
      </c>
      <c r="R34" s="57">
        <v>10386</v>
      </c>
      <c r="S34" s="60">
        <f t="shared" si="0"/>
        <v>529598</v>
      </c>
      <c r="T34" s="50">
        <f t="shared" si="1"/>
        <v>3.7952514316987962</v>
      </c>
      <c r="U34" s="6"/>
    </row>
    <row r="35" spans="1:21">
      <c r="A35" s="16" t="s">
        <v>44</v>
      </c>
      <c r="B35" s="62">
        <f t="shared" ref="B35:R35" si="7">SUM(B27:B34)</f>
        <v>36595</v>
      </c>
      <c r="C35" s="62">
        <f t="shared" si="7"/>
        <v>55994</v>
      </c>
      <c r="D35" s="62">
        <f t="shared" si="7"/>
        <v>43566</v>
      </c>
      <c r="E35" s="62">
        <f t="shared" si="7"/>
        <v>29354</v>
      </c>
      <c r="F35" s="62">
        <f t="shared" si="7"/>
        <v>155163</v>
      </c>
      <c r="G35" s="62">
        <f t="shared" si="7"/>
        <v>313186</v>
      </c>
      <c r="H35" s="62">
        <f t="shared" si="7"/>
        <v>22027</v>
      </c>
      <c r="I35" s="62">
        <f t="shared" si="7"/>
        <v>34986</v>
      </c>
      <c r="J35" s="62">
        <f t="shared" si="7"/>
        <v>183998</v>
      </c>
      <c r="K35" s="62">
        <f t="shared" si="7"/>
        <v>4044</v>
      </c>
      <c r="L35" s="62">
        <f t="shared" si="7"/>
        <v>57366</v>
      </c>
      <c r="M35" s="62">
        <f t="shared" si="7"/>
        <v>27805</v>
      </c>
      <c r="N35" s="62">
        <f t="shared" si="7"/>
        <v>431808</v>
      </c>
      <c r="O35" s="62">
        <f t="shared" si="7"/>
        <v>164520</v>
      </c>
      <c r="P35" s="62">
        <f t="shared" si="7"/>
        <v>56481</v>
      </c>
      <c r="Q35" s="62">
        <f t="shared" si="7"/>
        <v>47537</v>
      </c>
      <c r="R35" s="62">
        <f t="shared" si="7"/>
        <v>49787</v>
      </c>
      <c r="S35" s="60">
        <f t="shared" si="0"/>
        <v>1714217</v>
      </c>
      <c r="T35" s="51">
        <f t="shared" si="1"/>
        <v>12.284571549538359</v>
      </c>
      <c r="U35" s="9"/>
    </row>
    <row r="36" spans="1:21">
      <c r="A36" s="14" t="s">
        <v>45</v>
      </c>
      <c r="B36" s="57">
        <v>1970</v>
      </c>
      <c r="C36" s="57">
        <v>2005</v>
      </c>
      <c r="D36" s="57">
        <v>143</v>
      </c>
      <c r="E36" s="57">
        <v>92</v>
      </c>
      <c r="F36" s="57">
        <v>7334</v>
      </c>
      <c r="G36" s="57">
        <v>4293</v>
      </c>
      <c r="H36" s="57">
        <v>517</v>
      </c>
      <c r="I36" s="57">
        <v>43</v>
      </c>
      <c r="J36" s="57">
        <v>36376</v>
      </c>
      <c r="K36" s="57">
        <v>279</v>
      </c>
      <c r="L36" s="65">
        <v>998</v>
      </c>
      <c r="M36" s="58">
        <v>715</v>
      </c>
      <c r="N36" s="66">
        <v>4881</v>
      </c>
      <c r="O36" s="57">
        <v>3189</v>
      </c>
      <c r="P36" s="57">
        <v>208</v>
      </c>
      <c r="Q36" s="57">
        <v>43</v>
      </c>
      <c r="R36" s="57">
        <v>1509</v>
      </c>
      <c r="S36" s="60">
        <f t="shared" si="0"/>
        <v>64595</v>
      </c>
      <c r="T36" s="50">
        <f t="shared" si="1"/>
        <v>0.46290632938678727</v>
      </c>
      <c r="U36" s="6"/>
    </row>
    <row r="37" spans="1:21">
      <c r="A37" s="14" t="s">
        <v>88</v>
      </c>
      <c r="B37" s="57">
        <v>3095</v>
      </c>
      <c r="C37" s="57">
        <v>2243</v>
      </c>
      <c r="D37" s="57">
        <v>126</v>
      </c>
      <c r="E37" s="57"/>
      <c r="F37" s="57">
        <v>9983</v>
      </c>
      <c r="G37" s="57">
        <v>14782</v>
      </c>
      <c r="H37" s="57">
        <v>900</v>
      </c>
      <c r="I37" s="57">
        <v>99</v>
      </c>
      <c r="J37" s="57">
        <v>40457</v>
      </c>
      <c r="K37" s="57">
        <v>524</v>
      </c>
      <c r="L37" s="67">
        <v>633</v>
      </c>
      <c r="M37" s="58">
        <v>172</v>
      </c>
      <c r="N37" s="57">
        <v>14090</v>
      </c>
      <c r="O37" s="57">
        <v>6913</v>
      </c>
      <c r="P37" s="57">
        <v>1042</v>
      </c>
      <c r="Q37" s="57">
        <v>123</v>
      </c>
      <c r="R37" s="57">
        <v>3269</v>
      </c>
      <c r="S37" s="60">
        <f t="shared" si="0"/>
        <v>98451</v>
      </c>
      <c r="T37" s="50">
        <f t="shared" si="1"/>
        <v>0.70552815286722792</v>
      </c>
      <c r="U37" s="6"/>
    </row>
    <row r="38" spans="1:21">
      <c r="A38" s="14" t="s">
        <v>46</v>
      </c>
      <c r="B38" s="57">
        <v>34</v>
      </c>
      <c r="C38" s="57">
        <v>70</v>
      </c>
      <c r="D38" s="57">
        <v>10</v>
      </c>
      <c r="E38" s="57"/>
      <c r="F38" s="57"/>
      <c r="G38" s="57">
        <v>709</v>
      </c>
      <c r="H38" s="57"/>
      <c r="I38" s="57"/>
      <c r="J38" s="57">
        <v>372</v>
      </c>
      <c r="K38" s="57">
        <v>43</v>
      </c>
      <c r="L38" s="65">
        <v>43</v>
      </c>
      <c r="M38" s="58">
        <v>17</v>
      </c>
      <c r="N38" s="57"/>
      <c r="O38" s="57">
        <v>54</v>
      </c>
      <c r="P38" s="57">
        <v>64</v>
      </c>
      <c r="Q38" s="57">
        <v>4</v>
      </c>
      <c r="R38" s="57"/>
      <c r="S38" s="60">
        <f t="shared" si="0"/>
        <v>1420</v>
      </c>
      <c r="T38" s="50">
        <f t="shared" si="1"/>
        <v>1.0176127993331339E-2</v>
      </c>
      <c r="U38" s="6"/>
    </row>
    <row r="39" spans="1:21">
      <c r="A39" s="14" t="s">
        <v>47</v>
      </c>
      <c r="B39" s="57">
        <v>14179</v>
      </c>
      <c r="C39" s="57">
        <v>14848</v>
      </c>
      <c r="D39" s="57">
        <v>2971</v>
      </c>
      <c r="E39" s="57">
        <v>221</v>
      </c>
      <c r="F39" s="57">
        <v>62545</v>
      </c>
      <c r="G39" s="57">
        <v>77336</v>
      </c>
      <c r="H39" s="57">
        <v>4920</v>
      </c>
      <c r="I39" s="57">
        <v>717</v>
      </c>
      <c r="J39" s="57">
        <v>385842</v>
      </c>
      <c r="K39" s="57">
        <v>1432</v>
      </c>
      <c r="L39" s="57">
        <v>10769</v>
      </c>
      <c r="M39" s="58">
        <v>10176</v>
      </c>
      <c r="N39" s="59">
        <v>64547</v>
      </c>
      <c r="O39" s="57">
        <v>48866</v>
      </c>
      <c r="P39" s="57">
        <v>6950</v>
      </c>
      <c r="Q39" s="57">
        <v>145</v>
      </c>
      <c r="R39" s="57">
        <v>8757</v>
      </c>
      <c r="S39" s="60">
        <f t="shared" si="0"/>
        <v>715221</v>
      </c>
      <c r="T39" s="50">
        <f t="shared" si="1"/>
        <v>5.1254791827594604</v>
      </c>
      <c r="U39" s="6"/>
    </row>
    <row r="40" spans="1:21">
      <c r="A40" s="14" t="s">
        <v>48</v>
      </c>
      <c r="B40" s="57">
        <v>2</v>
      </c>
      <c r="C40" s="57">
        <v>205</v>
      </c>
      <c r="D40" s="57"/>
      <c r="E40" s="57"/>
      <c r="F40" s="57">
        <v>185</v>
      </c>
      <c r="G40" s="57"/>
      <c r="H40" s="57">
        <v>23</v>
      </c>
      <c r="I40" s="57"/>
      <c r="J40" s="57">
        <v>65710</v>
      </c>
      <c r="K40" s="57">
        <v>25</v>
      </c>
      <c r="L40" s="75">
        <v>110</v>
      </c>
      <c r="M40" s="69">
        <v>35</v>
      </c>
      <c r="N40" s="57"/>
      <c r="O40" s="57">
        <v>521</v>
      </c>
      <c r="P40" s="68">
        <v>26</v>
      </c>
      <c r="Q40" s="57"/>
      <c r="R40" s="57">
        <v>84</v>
      </c>
      <c r="S40" s="60">
        <f t="shared" si="0"/>
        <v>66926</v>
      </c>
      <c r="T40" s="50">
        <f t="shared" si="1"/>
        <v>0.47961094512795299</v>
      </c>
      <c r="U40" s="6"/>
    </row>
    <row r="41" spans="1:21">
      <c r="A41" s="14" t="s">
        <v>49</v>
      </c>
      <c r="B41" s="57">
        <v>133</v>
      </c>
      <c r="C41" s="57">
        <v>311</v>
      </c>
      <c r="D41" s="57">
        <v>10</v>
      </c>
      <c r="E41" s="57"/>
      <c r="F41" s="57"/>
      <c r="G41" s="57">
        <v>1654</v>
      </c>
      <c r="H41" s="57">
        <v>2</v>
      </c>
      <c r="I41" s="57"/>
      <c r="J41" s="57">
        <v>2053</v>
      </c>
      <c r="K41" s="57">
        <v>75</v>
      </c>
      <c r="L41" s="57">
        <v>59</v>
      </c>
      <c r="M41" s="58">
        <v>43</v>
      </c>
      <c r="N41" s="57">
        <v>1435</v>
      </c>
      <c r="O41" s="57">
        <v>275</v>
      </c>
      <c r="P41" s="57">
        <v>63</v>
      </c>
      <c r="Q41" s="57">
        <v>11</v>
      </c>
      <c r="R41" s="57">
        <v>783</v>
      </c>
      <c r="S41" s="60">
        <f t="shared" si="0"/>
        <v>6907</v>
      </c>
      <c r="T41" s="50">
        <f t="shared" si="1"/>
        <v>4.9497546514041951E-2</v>
      </c>
      <c r="U41" s="6"/>
    </row>
    <row r="42" spans="1:21">
      <c r="A42" s="14" t="s">
        <v>72</v>
      </c>
      <c r="B42" s="57"/>
      <c r="C42" s="57"/>
      <c r="D42" s="57"/>
      <c r="E42" s="57"/>
      <c r="F42" s="57">
        <v>967</v>
      </c>
      <c r="G42" s="57"/>
      <c r="H42" s="57"/>
      <c r="I42" s="57"/>
      <c r="J42" s="57"/>
      <c r="K42" s="57"/>
      <c r="L42" s="57"/>
      <c r="M42" s="58"/>
      <c r="N42" s="57"/>
      <c r="O42" s="57"/>
      <c r="P42" s="57"/>
      <c r="Q42" s="57"/>
      <c r="R42" s="57"/>
      <c r="S42" s="60"/>
      <c r="T42" s="50"/>
      <c r="U42" s="6"/>
    </row>
    <row r="43" spans="1:21">
      <c r="A43" s="16" t="s">
        <v>51</v>
      </c>
      <c r="B43" s="62">
        <f t="shared" ref="B43:S43" si="8">SUM(B36:B41)</f>
        <v>19413</v>
      </c>
      <c r="C43" s="62">
        <f t="shared" si="8"/>
        <v>19682</v>
      </c>
      <c r="D43" s="62">
        <f t="shared" si="8"/>
        <v>3260</v>
      </c>
      <c r="E43" s="62">
        <f t="shared" si="8"/>
        <v>313</v>
      </c>
      <c r="F43" s="62">
        <f>SUM(F36:F42)</f>
        <v>81014</v>
      </c>
      <c r="G43" s="62">
        <f t="shared" si="8"/>
        <v>98774</v>
      </c>
      <c r="H43" s="62">
        <f t="shared" si="8"/>
        <v>6362</v>
      </c>
      <c r="I43" s="62">
        <f t="shared" si="8"/>
        <v>859</v>
      </c>
      <c r="J43" s="62">
        <f t="shared" si="8"/>
        <v>530810</v>
      </c>
      <c r="K43" s="62">
        <f t="shared" si="8"/>
        <v>2378</v>
      </c>
      <c r="L43" s="62">
        <f t="shared" si="8"/>
        <v>12612</v>
      </c>
      <c r="M43" s="62">
        <f t="shared" si="8"/>
        <v>11158</v>
      </c>
      <c r="N43" s="62">
        <f t="shared" si="8"/>
        <v>84953</v>
      </c>
      <c r="O43" s="62">
        <f t="shared" si="8"/>
        <v>59818</v>
      </c>
      <c r="P43" s="62">
        <f t="shared" si="8"/>
        <v>8353</v>
      </c>
      <c r="Q43" s="62">
        <f t="shared" si="8"/>
        <v>326</v>
      </c>
      <c r="R43" s="62">
        <f t="shared" si="8"/>
        <v>14402</v>
      </c>
      <c r="S43" s="60">
        <f t="shared" si="8"/>
        <v>953520</v>
      </c>
      <c r="T43" s="51">
        <f t="shared" ref="T43:T65" si="9">S43/S$65*100</f>
        <v>6.8331982846488017</v>
      </c>
      <c r="U43" s="9"/>
    </row>
    <row r="44" spans="1:21">
      <c r="A44" s="14" t="s">
        <v>52</v>
      </c>
      <c r="B44" s="57">
        <v>15927</v>
      </c>
      <c r="C44" s="57">
        <v>33586</v>
      </c>
      <c r="D44" s="57">
        <v>8624</v>
      </c>
      <c r="E44" s="57">
        <v>5802</v>
      </c>
      <c r="F44" s="57">
        <v>62069</v>
      </c>
      <c r="G44" s="57">
        <v>311286</v>
      </c>
      <c r="H44" s="57">
        <v>4432</v>
      </c>
      <c r="I44" s="57">
        <v>3774</v>
      </c>
      <c r="J44" s="57">
        <v>64477</v>
      </c>
      <c r="K44" s="57">
        <v>4673</v>
      </c>
      <c r="L44" s="57">
        <v>15409</v>
      </c>
      <c r="M44" s="58">
        <v>15308</v>
      </c>
      <c r="N44" s="57">
        <v>169828</v>
      </c>
      <c r="O44" s="57">
        <v>47065</v>
      </c>
      <c r="P44" s="57">
        <v>17000</v>
      </c>
      <c r="Q44" s="57">
        <v>9033</v>
      </c>
      <c r="R44" s="57">
        <v>23842</v>
      </c>
      <c r="S44" s="60">
        <f t="shared" ref="S44:S65" si="10">SUM(B44:R44)</f>
        <v>812135</v>
      </c>
      <c r="T44" s="50">
        <f t="shared" si="9"/>
        <v>5.8199927520170052</v>
      </c>
      <c r="U44" s="6"/>
    </row>
    <row r="45" spans="1:21">
      <c r="A45" s="14" t="s">
        <v>53</v>
      </c>
      <c r="B45" s="57">
        <v>1501</v>
      </c>
      <c r="C45" s="57">
        <v>1638</v>
      </c>
      <c r="D45" s="57">
        <v>339</v>
      </c>
      <c r="E45" s="57"/>
      <c r="F45" s="57">
        <v>8980</v>
      </c>
      <c r="G45" s="57">
        <v>37299</v>
      </c>
      <c r="H45" s="57">
        <v>815</v>
      </c>
      <c r="I45" s="57"/>
      <c r="J45" s="57">
        <v>28326</v>
      </c>
      <c r="K45" s="57">
        <v>157</v>
      </c>
      <c r="L45" s="57">
        <v>1604</v>
      </c>
      <c r="M45" s="58">
        <v>3034</v>
      </c>
      <c r="N45" s="57">
        <v>12020</v>
      </c>
      <c r="O45" s="57">
        <v>6143</v>
      </c>
      <c r="P45" s="57">
        <v>47</v>
      </c>
      <c r="Q45" s="57">
        <v>56</v>
      </c>
      <c r="R45" s="57">
        <v>2770</v>
      </c>
      <c r="S45" s="60">
        <f t="shared" si="10"/>
        <v>104729</v>
      </c>
      <c r="T45" s="50">
        <f t="shared" si="9"/>
        <v>0.75051810465746327</v>
      </c>
      <c r="U45" s="6"/>
    </row>
    <row r="46" spans="1:21">
      <c r="A46" s="16" t="s">
        <v>54</v>
      </c>
      <c r="B46" s="62">
        <f t="shared" ref="B46:J46" si="11">+B45+B44</f>
        <v>17428</v>
      </c>
      <c r="C46" s="62">
        <f t="shared" si="11"/>
        <v>35224</v>
      </c>
      <c r="D46" s="62">
        <f t="shared" si="11"/>
        <v>8963</v>
      </c>
      <c r="E46" s="62">
        <f t="shared" si="11"/>
        <v>5802</v>
      </c>
      <c r="F46" s="62">
        <f t="shared" si="11"/>
        <v>71049</v>
      </c>
      <c r="G46" s="62">
        <f t="shared" si="11"/>
        <v>348585</v>
      </c>
      <c r="H46" s="62">
        <f t="shared" si="11"/>
        <v>5247</v>
      </c>
      <c r="I46" s="62">
        <f t="shared" si="11"/>
        <v>3774</v>
      </c>
      <c r="J46" s="62">
        <f t="shared" si="11"/>
        <v>92803</v>
      </c>
      <c r="K46" s="62">
        <f>SUM(K44:K45)</f>
        <v>4830</v>
      </c>
      <c r="L46" s="62">
        <f t="shared" ref="L46:R46" si="12">+L45+L44</f>
        <v>17013</v>
      </c>
      <c r="M46" s="62">
        <f t="shared" si="12"/>
        <v>18342</v>
      </c>
      <c r="N46" s="62">
        <f t="shared" si="12"/>
        <v>181848</v>
      </c>
      <c r="O46" s="62">
        <f t="shared" si="12"/>
        <v>53208</v>
      </c>
      <c r="P46" s="62">
        <f t="shared" si="12"/>
        <v>17047</v>
      </c>
      <c r="Q46" s="62">
        <f t="shared" si="12"/>
        <v>9089</v>
      </c>
      <c r="R46" s="62">
        <f t="shared" si="12"/>
        <v>26612</v>
      </c>
      <c r="S46" s="60">
        <f t="shared" si="10"/>
        <v>916864</v>
      </c>
      <c r="T46" s="51">
        <f t="shared" si="9"/>
        <v>6.5705108566744688</v>
      </c>
      <c r="U46" s="9"/>
    </row>
    <row r="47" spans="1:21">
      <c r="A47" s="14" t="s">
        <v>55</v>
      </c>
      <c r="B47" s="57">
        <v>19218</v>
      </c>
      <c r="C47" s="57">
        <v>40227</v>
      </c>
      <c r="D47" s="57">
        <v>5622</v>
      </c>
      <c r="E47" s="57">
        <v>4801</v>
      </c>
      <c r="F47" s="57">
        <v>60522</v>
      </c>
      <c r="G47" s="57">
        <v>262083</v>
      </c>
      <c r="H47" s="57">
        <v>3843</v>
      </c>
      <c r="I47" s="57">
        <v>5504</v>
      </c>
      <c r="J47" s="57">
        <v>59876</v>
      </c>
      <c r="K47" s="57">
        <v>5361</v>
      </c>
      <c r="L47" s="57">
        <v>18756</v>
      </c>
      <c r="M47" s="58">
        <v>14261</v>
      </c>
      <c r="N47" s="57">
        <v>182593</v>
      </c>
      <c r="O47" s="57">
        <v>44365</v>
      </c>
      <c r="P47" s="57">
        <v>22146</v>
      </c>
      <c r="Q47" s="57">
        <v>12098</v>
      </c>
      <c r="R47" s="65">
        <v>24780</v>
      </c>
      <c r="S47" s="60">
        <f t="shared" si="10"/>
        <v>786056</v>
      </c>
      <c r="T47" s="50">
        <f t="shared" si="9"/>
        <v>5.6331031450183522</v>
      </c>
      <c r="U47" s="6"/>
    </row>
    <row r="48" spans="1:21">
      <c r="A48" s="14" t="s">
        <v>56</v>
      </c>
      <c r="B48" s="57">
        <v>2841</v>
      </c>
      <c r="C48" s="57">
        <v>7480</v>
      </c>
      <c r="D48" s="57">
        <v>666</v>
      </c>
      <c r="E48" s="57">
        <v>175</v>
      </c>
      <c r="F48" s="57">
        <v>25176</v>
      </c>
      <c r="G48" s="57">
        <v>44010</v>
      </c>
      <c r="H48" s="57">
        <v>1584</v>
      </c>
      <c r="I48" s="57">
        <v>774</v>
      </c>
      <c r="J48" s="57">
        <v>24441</v>
      </c>
      <c r="K48" s="57">
        <v>850</v>
      </c>
      <c r="L48" s="57">
        <v>5777</v>
      </c>
      <c r="M48" s="58">
        <v>2601</v>
      </c>
      <c r="N48" s="57">
        <v>68984</v>
      </c>
      <c r="O48" s="57">
        <v>11292</v>
      </c>
      <c r="P48" s="57">
        <v>2768</v>
      </c>
      <c r="Q48" s="57">
        <v>858</v>
      </c>
      <c r="R48" s="65">
        <v>5267</v>
      </c>
      <c r="S48" s="60">
        <f t="shared" si="10"/>
        <v>205544</v>
      </c>
      <c r="T48" s="50">
        <f t="shared" si="9"/>
        <v>1.472987360747392</v>
      </c>
      <c r="U48" s="6"/>
    </row>
    <row r="49" spans="1:21">
      <c r="A49" s="14" t="s">
        <v>78</v>
      </c>
      <c r="B49" s="57">
        <v>1</v>
      </c>
      <c r="C49" s="57">
        <v>19</v>
      </c>
      <c r="D49" s="57"/>
      <c r="E49" s="57"/>
      <c r="F49" s="57">
        <v>15</v>
      </c>
      <c r="G49" s="57">
        <v>202</v>
      </c>
      <c r="H49" s="57"/>
      <c r="I49" s="57"/>
      <c r="J49" s="57">
        <v>45</v>
      </c>
      <c r="K49" s="57">
        <v>9</v>
      </c>
      <c r="L49" s="57">
        <v>14</v>
      </c>
      <c r="M49" s="58"/>
      <c r="N49" s="57"/>
      <c r="O49" s="57">
        <v>2</v>
      </c>
      <c r="P49" s="57">
        <v>7</v>
      </c>
      <c r="Q49" s="57"/>
      <c r="R49" s="65"/>
      <c r="S49" s="60">
        <f t="shared" si="10"/>
        <v>314</v>
      </c>
      <c r="T49" s="50">
        <f t="shared" si="9"/>
        <v>2.2502142182436904E-3</v>
      </c>
      <c r="U49" s="6"/>
    </row>
    <row r="50" spans="1:21">
      <c r="A50" s="16" t="s">
        <v>57</v>
      </c>
      <c r="B50" s="62">
        <f>+B48+B47+B49</f>
        <v>22060</v>
      </c>
      <c r="C50" s="62">
        <f>+C48+C47+C49</f>
        <v>47726</v>
      </c>
      <c r="D50" s="62">
        <f t="shared" ref="D50:R50" si="13">+D48+D47</f>
        <v>6288</v>
      </c>
      <c r="E50" s="62">
        <f t="shared" si="13"/>
        <v>4976</v>
      </c>
      <c r="F50" s="62">
        <f>+F48+F47+F49</f>
        <v>85713</v>
      </c>
      <c r="G50" s="62">
        <f>+G48+G47+G49</f>
        <v>306295</v>
      </c>
      <c r="H50" s="62">
        <f t="shared" si="13"/>
        <v>5427</v>
      </c>
      <c r="I50" s="62">
        <f t="shared" si="13"/>
        <v>6278</v>
      </c>
      <c r="J50" s="62">
        <f>+J48+J47+J49</f>
        <v>84362</v>
      </c>
      <c r="K50" s="62">
        <f>+K48+K47+K49</f>
        <v>6220</v>
      </c>
      <c r="L50" s="62">
        <f>+L48+L47+L49</f>
        <v>24547</v>
      </c>
      <c r="M50" s="62">
        <f t="shared" si="13"/>
        <v>16862</v>
      </c>
      <c r="N50" s="62">
        <f t="shared" si="13"/>
        <v>251577</v>
      </c>
      <c r="O50" s="62">
        <f>+O48+O47+O49</f>
        <v>55659</v>
      </c>
      <c r="P50" s="62">
        <f>+P48+P47+P49</f>
        <v>24921</v>
      </c>
      <c r="Q50" s="62">
        <f t="shared" si="13"/>
        <v>12956</v>
      </c>
      <c r="R50" s="62">
        <f t="shared" si="13"/>
        <v>30047</v>
      </c>
      <c r="S50" s="60">
        <f t="shared" si="10"/>
        <v>991914</v>
      </c>
      <c r="T50" s="51">
        <f t="shared" si="9"/>
        <v>7.1083407199839881</v>
      </c>
      <c r="U50" s="6"/>
    </row>
    <row r="51" spans="1:21">
      <c r="A51" s="14" t="s">
        <v>58</v>
      </c>
      <c r="B51" s="57">
        <v>16763</v>
      </c>
      <c r="C51" s="57">
        <v>21859</v>
      </c>
      <c r="D51" s="57">
        <v>10196</v>
      </c>
      <c r="E51" s="57">
        <v>2823</v>
      </c>
      <c r="F51" s="57">
        <v>28043</v>
      </c>
      <c r="G51" s="57">
        <v>107228</v>
      </c>
      <c r="H51" s="57">
        <v>1088</v>
      </c>
      <c r="I51" s="57">
        <v>15442</v>
      </c>
      <c r="J51" s="57">
        <v>56400</v>
      </c>
      <c r="K51" s="57">
        <v>1838</v>
      </c>
      <c r="L51" s="57">
        <v>12830</v>
      </c>
      <c r="M51" s="58">
        <v>2534</v>
      </c>
      <c r="N51" s="57">
        <v>92419</v>
      </c>
      <c r="O51" s="57">
        <v>50912</v>
      </c>
      <c r="P51" s="57">
        <v>9825</v>
      </c>
      <c r="Q51" s="57">
        <v>2740</v>
      </c>
      <c r="R51" s="57">
        <v>9076</v>
      </c>
      <c r="S51" s="60">
        <f t="shared" si="10"/>
        <v>442016</v>
      </c>
      <c r="T51" s="50">
        <f t="shared" si="9"/>
        <v>3.1676136557044687</v>
      </c>
      <c r="U51" s="6"/>
    </row>
    <row r="52" spans="1:21">
      <c r="A52" s="14" t="s">
        <v>59</v>
      </c>
      <c r="B52" s="57">
        <v>9403</v>
      </c>
      <c r="C52" s="57">
        <v>11554</v>
      </c>
      <c r="D52" s="57">
        <v>11018</v>
      </c>
      <c r="E52" s="57">
        <v>7168</v>
      </c>
      <c r="F52" s="57">
        <v>33684</v>
      </c>
      <c r="G52" s="57">
        <v>60522</v>
      </c>
      <c r="H52" s="57">
        <v>816</v>
      </c>
      <c r="I52" s="57">
        <v>6710</v>
      </c>
      <c r="J52" s="57">
        <v>45162</v>
      </c>
      <c r="K52" s="57">
        <v>625</v>
      </c>
      <c r="L52" s="57">
        <v>18678</v>
      </c>
      <c r="M52" s="58">
        <v>4843</v>
      </c>
      <c r="N52" s="57">
        <v>89364</v>
      </c>
      <c r="O52" s="57">
        <v>53412</v>
      </c>
      <c r="P52" s="57">
        <v>21788</v>
      </c>
      <c r="Q52" s="57">
        <v>4213</v>
      </c>
      <c r="R52" s="57">
        <v>5481</v>
      </c>
      <c r="S52" s="60">
        <f t="shared" si="10"/>
        <v>384441</v>
      </c>
      <c r="T52" s="50">
        <f t="shared" si="9"/>
        <v>2.7550146632987982</v>
      </c>
      <c r="U52" s="6"/>
    </row>
    <row r="53" spans="1:21">
      <c r="A53" s="14" t="s">
        <v>60</v>
      </c>
      <c r="B53" s="57">
        <v>107</v>
      </c>
      <c r="C53" s="57">
        <v>1335</v>
      </c>
      <c r="D53" s="57">
        <v>25</v>
      </c>
      <c r="E53" s="57"/>
      <c r="F53" s="57"/>
      <c r="G53" s="57">
        <v>3397</v>
      </c>
      <c r="H53" s="57">
        <v>129</v>
      </c>
      <c r="I53" s="57">
        <v>217</v>
      </c>
      <c r="J53" s="57">
        <v>2810</v>
      </c>
      <c r="K53" s="57">
        <v>182</v>
      </c>
      <c r="L53" s="57">
        <v>10</v>
      </c>
      <c r="M53" s="58"/>
      <c r="N53" s="57">
        <v>4444</v>
      </c>
      <c r="O53" s="57">
        <v>3870</v>
      </c>
      <c r="P53" s="57">
        <v>125</v>
      </c>
      <c r="Q53" s="57">
        <v>82</v>
      </c>
      <c r="R53" s="57">
        <v>968</v>
      </c>
      <c r="S53" s="60">
        <f t="shared" si="10"/>
        <v>17701</v>
      </c>
      <c r="T53" s="50">
        <f t="shared" si="9"/>
        <v>0.12685045183799862</v>
      </c>
      <c r="U53" s="6"/>
    </row>
    <row r="54" spans="1:21">
      <c r="A54" s="16" t="s">
        <v>61</v>
      </c>
      <c r="B54" s="62">
        <f t="shared" ref="B54:R54" si="14">SUM(B51:B53)</f>
        <v>26273</v>
      </c>
      <c r="C54" s="62">
        <f t="shared" si="14"/>
        <v>34748</v>
      </c>
      <c r="D54" s="62">
        <f t="shared" si="14"/>
        <v>21239</v>
      </c>
      <c r="E54" s="62">
        <f t="shared" si="14"/>
        <v>9991</v>
      </c>
      <c r="F54" s="62">
        <f t="shared" si="14"/>
        <v>61727</v>
      </c>
      <c r="G54" s="62">
        <f t="shared" si="14"/>
        <v>171147</v>
      </c>
      <c r="H54" s="62">
        <f t="shared" si="14"/>
        <v>2033</v>
      </c>
      <c r="I54" s="62">
        <f t="shared" si="14"/>
        <v>22369</v>
      </c>
      <c r="J54" s="62">
        <f t="shared" si="14"/>
        <v>104372</v>
      </c>
      <c r="K54" s="62">
        <f t="shared" si="14"/>
        <v>2645</v>
      </c>
      <c r="L54" s="62">
        <f t="shared" si="14"/>
        <v>31518</v>
      </c>
      <c r="M54" s="62">
        <f t="shared" si="14"/>
        <v>7377</v>
      </c>
      <c r="N54" s="62">
        <f t="shared" si="14"/>
        <v>186227</v>
      </c>
      <c r="O54" s="62">
        <f t="shared" si="14"/>
        <v>108194</v>
      </c>
      <c r="P54" s="62">
        <f t="shared" si="14"/>
        <v>31738</v>
      </c>
      <c r="Q54" s="62">
        <f t="shared" si="14"/>
        <v>7035</v>
      </c>
      <c r="R54" s="62">
        <f t="shared" si="14"/>
        <v>15525</v>
      </c>
      <c r="S54" s="60">
        <f t="shared" si="10"/>
        <v>844158</v>
      </c>
      <c r="T54" s="51">
        <f t="shared" si="9"/>
        <v>6.0494787708412652</v>
      </c>
      <c r="U54" s="9"/>
    </row>
    <row r="55" spans="1:21">
      <c r="A55" s="20" t="s">
        <v>62</v>
      </c>
      <c r="B55" s="57">
        <v>955</v>
      </c>
      <c r="C55" s="57">
        <v>2991</v>
      </c>
      <c r="D55" s="57">
        <v>235</v>
      </c>
      <c r="E55" s="57">
        <v>290</v>
      </c>
      <c r="F55" s="57"/>
      <c r="G55" s="57">
        <v>8713</v>
      </c>
      <c r="H55" s="57">
        <v>28</v>
      </c>
      <c r="I55" s="57">
        <v>556</v>
      </c>
      <c r="J55" s="57">
        <v>4918</v>
      </c>
      <c r="K55" s="57">
        <v>846</v>
      </c>
      <c r="L55" s="57">
        <v>1185</v>
      </c>
      <c r="M55" s="58">
        <v>632</v>
      </c>
      <c r="N55" s="57">
        <v>34822</v>
      </c>
      <c r="O55" s="57">
        <v>3648</v>
      </c>
      <c r="P55" s="57">
        <v>552</v>
      </c>
      <c r="Q55" s="57">
        <v>359</v>
      </c>
      <c r="R55" s="57">
        <v>1791</v>
      </c>
      <c r="S55" s="60">
        <f t="shared" si="10"/>
        <v>62521</v>
      </c>
      <c r="T55" s="52">
        <f t="shared" si="9"/>
        <v>0.44804344948666808</v>
      </c>
      <c r="U55" s="21"/>
    </row>
    <row r="56" spans="1:21">
      <c r="A56" s="14" t="s">
        <v>63</v>
      </c>
      <c r="B56" s="57">
        <v>2066</v>
      </c>
      <c r="C56" s="57">
        <v>5902</v>
      </c>
      <c r="D56" s="57">
        <v>88</v>
      </c>
      <c r="E56" s="57">
        <v>283</v>
      </c>
      <c r="F56" s="57"/>
      <c r="G56" s="57">
        <v>22799</v>
      </c>
      <c r="H56" s="57">
        <v>74</v>
      </c>
      <c r="I56" s="57">
        <v>1167</v>
      </c>
      <c r="J56" s="57">
        <v>18807</v>
      </c>
      <c r="K56" s="57">
        <v>334</v>
      </c>
      <c r="L56" s="57">
        <v>1623</v>
      </c>
      <c r="M56" s="58">
        <v>944</v>
      </c>
      <c r="N56" s="57">
        <v>79534</v>
      </c>
      <c r="O56" s="57">
        <v>10264</v>
      </c>
      <c r="P56" s="57">
        <v>907</v>
      </c>
      <c r="Q56" s="57">
        <v>444</v>
      </c>
      <c r="R56" s="57">
        <v>3941</v>
      </c>
      <c r="S56" s="60">
        <f t="shared" si="10"/>
        <v>149177</v>
      </c>
      <c r="T56" s="50">
        <f t="shared" si="9"/>
        <v>1.0690452434233726</v>
      </c>
      <c r="U56" s="23"/>
    </row>
    <row r="57" spans="1:21">
      <c r="A57" s="16" t="s">
        <v>64</v>
      </c>
      <c r="B57" s="62">
        <f>+B56+B55</f>
        <v>3021</v>
      </c>
      <c r="C57" s="62">
        <f>SUM(C55:C56)</f>
        <v>8893</v>
      </c>
      <c r="D57" s="62">
        <f>+D56+D55</f>
        <v>323</v>
      </c>
      <c r="E57" s="62">
        <f>SUM(E55:E56)</f>
        <v>573</v>
      </c>
      <c r="F57" s="62">
        <f>SUM(F55:F56)</f>
        <v>0</v>
      </c>
      <c r="G57" s="62">
        <f>+G56+G55</f>
        <v>31512</v>
      </c>
      <c r="H57" s="62">
        <f t="shared" ref="H57:N57" si="15">SUM(H55:H56)</f>
        <v>102</v>
      </c>
      <c r="I57" s="62">
        <f t="shared" si="15"/>
        <v>1723</v>
      </c>
      <c r="J57" s="62">
        <f t="shared" si="15"/>
        <v>23725</v>
      </c>
      <c r="K57" s="62">
        <f t="shared" si="15"/>
        <v>1180</v>
      </c>
      <c r="L57" s="62">
        <f t="shared" si="15"/>
        <v>2808</v>
      </c>
      <c r="M57" s="62">
        <f t="shared" si="15"/>
        <v>1576</v>
      </c>
      <c r="N57" s="62">
        <f t="shared" si="15"/>
        <v>114356</v>
      </c>
      <c r="O57" s="62">
        <f>+O56+O55</f>
        <v>13912</v>
      </c>
      <c r="P57" s="62">
        <f>+P56+P55</f>
        <v>1459</v>
      </c>
      <c r="Q57" s="62">
        <f>+Q56+Q55</f>
        <v>803</v>
      </c>
      <c r="R57" s="62">
        <f>SUM(R55:R56)</f>
        <v>5732</v>
      </c>
      <c r="S57" s="60">
        <f t="shared" si="10"/>
        <v>211698</v>
      </c>
      <c r="T57" s="51">
        <f t="shared" si="9"/>
        <v>1.5170886929100407</v>
      </c>
      <c r="U57" s="9"/>
    </row>
    <row r="58" spans="1:21">
      <c r="A58" s="14" t="s">
        <v>66</v>
      </c>
      <c r="B58" s="57">
        <v>11</v>
      </c>
      <c r="C58" s="57">
        <v>18</v>
      </c>
      <c r="D58" s="57">
        <v>3</v>
      </c>
      <c r="E58" s="57"/>
      <c r="F58" s="57"/>
      <c r="G58" s="57">
        <v>253</v>
      </c>
      <c r="H58" s="57"/>
      <c r="I58" s="57"/>
      <c r="J58" s="57">
        <v>17</v>
      </c>
      <c r="K58" s="57">
        <v>24</v>
      </c>
      <c r="L58" s="57">
        <v>11</v>
      </c>
      <c r="M58" s="58">
        <v>7</v>
      </c>
      <c r="N58" s="57">
        <v>906</v>
      </c>
      <c r="O58" s="57">
        <v>11</v>
      </c>
      <c r="P58" s="57">
        <v>23</v>
      </c>
      <c r="Q58" s="57">
        <v>3</v>
      </c>
      <c r="R58" s="57">
        <v>127</v>
      </c>
      <c r="S58" s="60">
        <f t="shared" si="10"/>
        <v>1414</v>
      </c>
      <c r="T58" s="50">
        <f t="shared" si="9"/>
        <v>1.0133130269415855E-2</v>
      </c>
      <c r="U58" s="6"/>
    </row>
    <row r="59" spans="1:21">
      <c r="A59" s="14" t="s">
        <v>67</v>
      </c>
      <c r="B59" s="57">
        <v>2</v>
      </c>
      <c r="C59" s="57"/>
      <c r="D59" s="57"/>
      <c r="E59" s="57"/>
      <c r="F59" s="57"/>
      <c r="G59" s="57">
        <v>648</v>
      </c>
      <c r="H59" s="57"/>
      <c r="I59" s="57"/>
      <c r="J59" s="57">
        <v>26</v>
      </c>
      <c r="K59" s="57"/>
      <c r="L59" s="57">
        <v>1</v>
      </c>
      <c r="M59" s="58"/>
      <c r="N59" s="57"/>
      <c r="O59" s="57"/>
      <c r="P59" s="57">
        <v>39</v>
      </c>
      <c r="Q59" s="57"/>
      <c r="R59" s="57"/>
      <c r="S59" s="60">
        <f t="shared" si="10"/>
        <v>716</v>
      </c>
      <c r="T59" s="50">
        <f t="shared" si="9"/>
        <v>5.1310617205811548E-3</v>
      </c>
      <c r="U59" s="6"/>
    </row>
    <row r="60" spans="1:21">
      <c r="A60" s="24" t="s">
        <v>65</v>
      </c>
      <c r="B60" s="57">
        <v>121</v>
      </c>
      <c r="C60" s="57">
        <v>4</v>
      </c>
      <c r="D60" s="57"/>
      <c r="E60" s="57"/>
      <c r="F60" s="57">
        <v>2</v>
      </c>
      <c r="G60" s="57">
        <v>1686</v>
      </c>
      <c r="H60" s="57"/>
      <c r="I60" s="57"/>
      <c r="J60" s="57">
        <v>7</v>
      </c>
      <c r="K60" s="57">
        <v>41</v>
      </c>
      <c r="L60" s="57"/>
      <c r="M60" s="58"/>
      <c r="N60" s="57"/>
      <c r="O60" s="57">
        <v>0</v>
      </c>
      <c r="P60" s="57">
        <v>3</v>
      </c>
      <c r="Q60" s="57"/>
      <c r="R60" s="57"/>
      <c r="S60" s="60">
        <f t="shared" si="10"/>
        <v>1864</v>
      </c>
      <c r="T60" s="50">
        <f t="shared" si="9"/>
        <v>1.3357959563077197E-2</v>
      </c>
      <c r="U60" s="6"/>
    </row>
    <row r="61" spans="1:21">
      <c r="A61" s="14" t="s">
        <v>68</v>
      </c>
      <c r="B61" s="57">
        <v>5</v>
      </c>
      <c r="C61" s="57">
        <v>26</v>
      </c>
      <c r="D61" s="57">
        <v>1</v>
      </c>
      <c r="E61" s="57"/>
      <c r="F61" s="57"/>
      <c r="G61" s="57">
        <v>151</v>
      </c>
      <c r="H61" s="57"/>
      <c r="I61" s="57"/>
      <c r="J61" s="57">
        <v>62</v>
      </c>
      <c r="K61" s="57">
        <v>16</v>
      </c>
      <c r="L61" s="57">
        <v>3</v>
      </c>
      <c r="M61" s="58">
        <v>5</v>
      </c>
      <c r="N61" s="57">
        <v>339</v>
      </c>
      <c r="O61" s="57">
        <v>4</v>
      </c>
      <c r="P61" s="57">
        <v>7</v>
      </c>
      <c r="Q61" s="57"/>
      <c r="R61" s="57"/>
      <c r="S61" s="60">
        <f t="shared" si="10"/>
        <v>619</v>
      </c>
      <c r="T61" s="50">
        <f t="shared" si="9"/>
        <v>4.4359318506141544E-3</v>
      </c>
      <c r="U61" s="6"/>
    </row>
    <row r="62" spans="1:21">
      <c r="A62" s="14" t="s">
        <v>70</v>
      </c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8"/>
      <c r="N62" s="57"/>
      <c r="O62" s="57"/>
      <c r="P62" s="57"/>
      <c r="Q62" s="57"/>
      <c r="R62" s="57"/>
      <c r="S62" s="60">
        <f t="shared" si="10"/>
        <v>0</v>
      </c>
      <c r="T62" s="50">
        <f t="shared" si="9"/>
        <v>0</v>
      </c>
      <c r="U62" s="6"/>
    </row>
    <row r="63" spans="1:21">
      <c r="A63" s="14" t="s">
        <v>76</v>
      </c>
      <c r="B63" s="57">
        <v>717</v>
      </c>
      <c r="C63" s="57">
        <v>859</v>
      </c>
      <c r="D63" s="57">
        <v>176</v>
      </c>
      <c r="E63" s="57">
        <v>121</v>
      </c>
      <c r="F63" s="57"/>
      <c r="G63" s="57">
        <v>1908</v>
      </c>
      <c r="H63" s="57">
        <v>3</v>
      </c>
      <c r="I63" s="57"/>
      <c r="J63" s="57">
        <v>242</v>
      </c>
      <c r="K63" s="57">
        <v>61</v>
      </c>
      <c r="L63" s="57">
        <v>2120</v>
      </c>
      <c r="M63" s="58"/>
      <c r="N63" s="57"/>
      <c r="O63" s="57">
        <v>55</v>
      </c>
      <c r="P63" s="57">
        <v>1128</v>
      </c>
      <c r="Q63" s="57">
        <v>3481</v>
      </c>
      <c r="R63" s="57"/>
      <c r="S63" s="60">
        <f t="shared" si="10"/>
        <v>10871</v>
      </c>
      <c r="T63" s="50">
        <f t="shared" si="9"/>
        <v>7.7904709447538731E-2</v>
      </c>
      <c r="U63" s="6"/>
    </row>
    <row r="64" spans="1:21">
      <c r="A64" s="83" t="s">
        <v>72</v>
      </c>
      <c r="B64" s="84">
        <v>26</v>
      </c>
      <c r="C64" s="84">
        <v>94</v>
      </c>
      <c r="D64" s="84">
        <v>239</v>
      </c>
      <c r="E64" s="84">
        <v>1519</v>
      </c>
      <c r="F64" s="84">
        <f>995+60269</f>
        <v>61264</v>
      </c>
      <c r="G64" s="84">
        <v>7860</v>
      </c>
      <c r="H64" s="84">
        <v>1</v>
      </c>
      <c r="I64" s="84">
        <v>82</v>
      </c>
      <c r="J64" s="84">
        <v>994</v>
      </c>
      <c r="K64" s="84">
        <v>33</v>
      </c>
      <c r="L64" s="84">
        <v>1390</v>
      </c>
      <c r="M64" s="85"/>
      <c r="N64" s="84">
        <v>8577</v>
      </c>
      <c r="O64" s="84">
        <v>116</v>
      </c>
      <c r="P64" s="84">
        <v>183</v>
      </c>
      <c r="Q64" s="84">
        <v>30</v>
      </c>
      <c r="R64" s="84">
        <v>3098</v>
      </c>
      <c r="S64" s="86">
        <f t="shared" si="10"/>
        <v>85506</v>
      </c>
      <c r="T64" s="89">
        <f t="shared" si="9"/>
        <v>0.61276056351957009</v>
      </c>
      <c r="U64" s="6"/>
    </row>
    <row r="65" spans="1:23">
      <c r="A65" s="90" t="s">
        <v>14</v>
      </c>
      <c r="B65" s="91">
        <f>+B64+B63+B61+B60+B59+B58+B57+B54+B50+B46+B43+B35+B26+B23+B18+B17+B16+B12</f>
        <v>329604</v>
      </c>
      <c r="C65" s="91">
        <f>+C64+C63+C61+C60+C58+C57+C54+C50+C46+C43+C35+C26+C23+C18+C17+C16+C12</f>
        <v>539519</v>
      </c>
      <c r="D65" s="91">
        <f>+D64+D63+D61+D58+D57+D54+D50+D46+D43+D35+D26+D23+D18+D17+D16+D12</f>
        <v>222917</v>
      </c>
      <c r="E65" s="91">
        <f>+E64+E63+E57+E54+E50+E46+E43+E35+E26+E23+E18+E17+E16+E12</f>
        <v>119000</v>
      </c>
      <c r="F65" s="91">
        <f>+F64+F54+F50+F46+F35+F43+F26+F23+F18+F17+F16+F12+F60</f>
        <v>2015177</v>
      </c>
      <c r="G65" s="91">
        <f>+G63+G61+G60+G59+G58+G57+G54+G50+G46+G43+G35+G26+G23+G18+G17+G16+G12+G64</f>
        <v>3351607</v>
      </c>
      <c r="H65" s="91">
        <f>+H64+H63+H57+H54+H50+H46+H43+H35+H26+H23+H18+H17+H16+H12</f>
        <v>78873</v>
      </c>
      <c r="I65" s="91">
        <f>+I64+I57+I54+I50+I46+I43+I35+I26+I23+I18+I17+I16+I12</f>
        <v>146649</v>
      </c>
      <c r="J65" s="91">
        <f>+J64+J63+J61+J60+J59+J58+J57+J54+J50+J46+J43+J35+J26+J23+J18+J17+J16+J12</f>
        <v>1826131</v>
      </c>
      <c r="K65" s="91">
        <f>+K64+K63+K61+K60+K58+K57+K54+K50+K46+K43+K35+K26+K23+K18+K17+K16+K12</f>
        <v>50561</v>
      </c>
      <c r="L65" s="91">
        <f>+L64+L63+L61+L59+L58+L57+L54+L50+L46+L43+L35+L26+L23+L18+L17+L16+L12</f>
        <v>382825</v>
      </c>
      <c r="M65" s="91">
        <f>+M61+M58+M57+M54+M50+M46+M43+M35+M26+M23+M18+M17+M16+M12</f>
        <v>207330</v>
      </c>
      <c r="N65" s="91">
        <f>+N64+N58+N57+N54+N50+N46+N43+N35+N26+N23+N18+N17+N16+N12+N61</f>
        <v>2692786</v>
      </c>
      <c r="O65" s="91">
        <f>+O64+O63+O61+O58+O57+O54+O50+O46+O43+O35+O26+O23+O18+O17+O16+O12</f>
        <v>1147009</v>
      </c>
      <c r="P65" s="91">
        <f>+P64+P63+P61+P60+P59+P58+P57+P54+P50+P46+P43+P35+P26+P23++P18+P17+P16+P12</f>
        <v>372318</v>
      </c>
      <c r="Q65" s="91">
        <f>+Q64+Q63+Q58+Q57+Q54+Q50+Q46+Q43+Q35+Q26+Q23+Q18+Q17+Q16+Q12</f>
        <v>154603</v>
      </c>
      <c r="R65" s="91">
        <f>+R64+R58+R57+R54+R50+R46+R43+R35+R26+R23+R17+R16+R12+R18</f>
        <v>317318</v>
      </c>
      <c r="S65" s="91">
        <f t="shared" si="10"/>
        <v>13954227</v>
      </c>
      <c r="T65" s="92">
        <f t="shared" si="9"/>
        <v>100</v>
      </c>
      <c r="U65" s="6"/>
      <c r="V65" s="38"/>
      <c r="W65" s="38"/>
    </row>
    <row r="66" spans="1:23" s="38" customFormat="1" ht="17.25">
      <c r="A66" s="76" t="s">
        <v>83</v>
      </c>
      <c r="B66" s="76" t="s">
        <v>101</v>
      </c>
      <c r="C66" s="77"/>
      <c r="D66" s="77"/>
      <c r="E66" s="77"/>
      <c r="F66" s="77"/>
      <c r="G66" s="77"/>
      <c r="H66" s="77"/>
      <c r="I66" s="77"/>
      <c r="K66" s="77"/>
      <c r="L66" s="77"/>
      <c r="M66" s="77"/>
      <c r="N66" s="77"/>
      <c r="O66" s="77"/>
      <c r="P66" s="77"/>
      <c r="Q66" s="77"/>
      <c r="R66" s="77"/>
      <c r="S66" s="77"/>
      <c r="T66" s="78"/>
      <c r="U66" s="27"/>
      <c r="V66" s="2"/>
      <c r="W66" s="2"/>
    </row>
    <row r="67" spans="1:23">
      <c r="A67" s="79" t="s">
        <v>86</v>
      </c>
      <c r="B67" s="6"/>
      <c r="C67" s="6"/>
      <c r="D67" s="6"/>
      <c r="E67" s="6"/>
      <c r="F67" s="6"/>
      <c r="G67" s="7"/>
      <c r="H67" s="6"/>
      <c r="I67" s="6"/>
      <c r="J67" s="6"/>
      <c r="K67" s="6"/>
      <c r="L67" s="6"/>
      <c r="M67" s="8"/>
      <c r="N67" s="6"/>
      <c r="O67" s="6"/>
      <c r="P67" s="6"/>
      <c r="Q67" s="6"/>
      <c r="R67" s="6"/>
      <c r="S67" s="9"/>
      <c r="T67" s="73" t="s">
        <v>73</v>
      </c>
      <c r="U67" s="6"/>
    </row>
    <row r="69" spans="1:23"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</row>
    <row r="70" spans="1:23">
      <c r="F70" s="74"/>
      <c r="K70" s="74"/>
    </row>
    <row r="71" spans="1:23">
      <c r="B71" s="74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</row>
    <row r="72" spans="1:23">
      <c r="S72" s="48"/>
    </row>
    <row r="73" spans="1:23">
      <c r="S73" s="48"/>
    </row>
  </sheetData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rowBreaks count="1" manualBreakCount="1">
    <brk id="50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74"/>
  <sheetViews>
    <sheetView showGridLines="0" workbookViewId="0">
      <pane ySplit="3" topLeftCell="A4" activePane="bottomLeft" state="frozenSplit"/>
      <selection activeCell="F9" sqref="F9"/>
      <selection pane="bottomLeft" sqref="A1:XFD1"/>
    </sheetView>
  </sheetViews>
  <sheetFormatPr defaultColWidth="9.28515625" defaultRowHeight="15"/>
  <cols>
    <col min="1" max="1" width="24" style="2" customWidth="1"/>
    <col min="2" max="2" width="9" style="2" customWidth="1"/>
    <col min="3" max="3" width="9.42578125" style="2" customWidth="1"/>
    <col min="4" max="5" width="9" style="2" customWidth="1"/>
    <col min="6" max="6" width="10.5703125" style="2" customWidth="1"/>
    <col min="7" max="7" width="10.5703125" style="3" customWidth="1"/>
    <col min="8" max="8" width="8.28515625" style="2" customWidth="1"/>
    <col min="9" max="9" width="9.42578125" style="2" customWidth="1"/>
    <col min="10" max="10" width="10.7109375" style="2" customWidth="1"/>
    <col min="11" max="11" width="8" style="2" customWidth="1"/>
    <col min="12" max="12" width="9" style="2" customWidth="1"/>
    <col min="13" max="13" width="9" style="3" customWidth="1"/>
    <col min="14" max="14" width="10.5703125" style="2" customWidth="1"/>
    <col min="15" max="15" width="10.5703125" style="2" bestFit="1" customWidth="1"/>
    <col min="16" max="18" width="9" style="2" bestFit="1" customWidth="1"/>
    <col min="19" max="19" width="11.5703125" style="2" bestFit="1" customWidth="1"/>
    <col min="20" max="20" width="8.42578125" style="71" customWidth="1"/>
    <col min="21" max="16384" width="9.28515625" style="2"/>
  </cols>
  <sheetData>
    <row r="1" spans="1:21" ht="21.4" customHeight="1">
      <c r="B1" s="1" t="s">
        <v>99</v>
      </c>
    </row>
    <row r="2" spans="1:21" ht="15.75">
      <c r="B2" s="5" t="s">
        <v>100</v>
      </c>
      <c r="C2" s="6"/>
      <c r="D2" s="6"/>
      <c r="E2" s="6"/>
      <c r="F2" s="6"/>
      <c r="G2" s="7"/>
      <c r="H2" s="6"/>
      <c r="I2" s="6"/>
      <c r="J2" s="6"/>
      <c r="K2" s="6"/>
      <c r="L2" s="6"/>
      <c r="M2" s="8"/>
      <c r="N2" s="6"/>
      <c r="O2" s="6"/>
      <c r="P2" s="6"/>
      <c r="Q2" s="6"/>
      <c r="R2" s="6"/>
      <c r="S2" s="47"/>
      <c r="T2" s="72"/>
      <c r="U2" s="6"/>
    </row>
    <row r="3" spans="1:21">
      <c r="A3" s="6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9"/>
      <c r="T3" s="72"/>
      <c r="U3" s="6"/>
    </row>
    <row r="4" spans="1:21" ht="17.25">
      <c r="A4" s="80" t="s">
        <v>0</v>
      </c>
      <c r="B4" s="81" t="s">
        <v>1</v>
      </c>
      <c r="C4" s="81" t="s">
        <v>2</v>
      </c>
      <c r="D4" s="81" t="s">
        <v>82</v>
      </c>
      <c r="E4" s="81" t="s">
        <v>79</v>
      </c>
      <c r="F4" s="81" t="s">
        <v>3</v>
      </c>
      <c r="G4" s="81" t="s">
        <v>80</v>
      </c>
      <c r="H4" s="81" t="s">
        <v>4</v>
      </c>
      <c r="I4" s="81" t="s">
        <v>5</v>
      </c>
      <c r="J4" s="81" t="s">
        <v>81</v>
      </c>
      <c r="K4" s="81" t="s">
        <v>6</v>
      </c>
      <c r="L4" s="81" t="s">
        <v>7</v>
      </c>
      <c r="M4" s="81" t="s">
        <v>8</v>
      </c>
      <c r="N4" s="81" t="s">
        <v>9</v>
      </c>
      <c r="O4" s="81" t="s">
        <v>10</v>
      </c>
      <c r="P4" s="81" t="s">
        <v>11</v>
      </c>
      <c r="Q4" s="81" t="s">
        <v>12</v>
      </c>
      <c r="R4" s="81" t="s">
        <v>13</v>
      </c>
      <c r="S4" s="81" t="s">
        <v>85</v>
      </c>
      <c r="T4" s="81" t="s">
        <v>15</v>
      </c>
      <c r="U4" s="11"/>
    </row>
    <row r="5" spans="1:21">
      <c r="A5" s="12" t="s">
        <v>16</v>
      </c>
      <c r="B5" s="54">
        <v>17131</v>
      </c>
      <c r="C5" s="54">
        <v>32365</v>
      </c>
      <c r="D5" s="54">
        <v>7156</v>
      </c>
      <c r="E5" s="54">
        <v>5391</v>
      </c>
      <c r="F5" s="54">
        <v>58734</v>
      </c>
      <c r="G5" s="54">
        <v>269047</v>
      </c>
      <c r="H5" s="54">
        <v>2668</v>
      </c>
      <c r="I5" s="54">
        <v>5211</v>
      </c>
      <c r="J5" s="54">
        <v>54828</v>
      </c>
      <c r="K5" s="54">
        <v>4259</v>
      </c>
      <c r="L5" s="54">
        <v>17230</v>
      </c>
      <c r="M5" s="55">
        <v>9453</v>
      </c>
      <c r="N5" s="54">
        <v>166709</v>
      </c>
      <c r="O5" s="54">
        <v>44062</v>
      </c>
      <c r="P5" s="54">
        <v>20463</v>
      </c>
      <c r="Q5" s="54">
        <v>6690</v>
      </c>
      <c r="R5" s="54">
        <v>22225</v>
      </c>
      <c r="S5" s="56">
        <f t="shared" ref="S5:S42" si="0">SUM(B5:R5)</f>
        <v>743622</v>
      </c>
      <c r="T5" s="49">
        <f t="shared" ref="T5:T11" si="1">S5/S$66*100</f>
        <v>5.6386538150210779</v>
      </c>
      <c r="U5" s="6"/>
    </row>
    <row r="6" spans="1:21">
      <c r="A6" s="14" t="s">
        <v>77</v>
      </c>
      <c r="B6" s="57">
        <v>41</v>
      </c>
      <c r="C6" s="57">
        <v>52</v>
      </c>
      <c r="D6" s="57">
        <v>0</v>
      </c>
      <c r="E6" s="57">
        <v>0</v>
      </c>
      <c r="F6" s="57">
        <v>0</v>
      </c>
      <c r="G6" s="57">
        <v>0</v>
      </c>
      <c r="H6" s="57">
        <v>0</v>
      </c>
      <c r="I6" s="57">
        <v>0</v>
      </c>
      <c r="J6" s="57">
        <v>0</v>
      </c>
      <c r="K6" s="57">
        <v>24</v>
      </c>
      <c r="L6" s="57">
        <v>35</v>
      </c>
      <c r="M6" s="58">
        <v>8</v>
      </c>
      <c r="N6" s="59">
        <v>1379</v>
      </c>
      <c r="O6" s="57">
        <v>33</v>
      </c>
      <c r="P6" s="57">
        <f>2</f>
        <v>2</v>
      </c>
      <c r="Q6" s="57">
        <v>0</v>
      </c>
      <c r="R6" s="57">
        <v>0</v>
      </c>
      <c r="S6" s="60">
        <f t="shared" si="0"/>
        <v>1574</v>
      </c>
      <c r="T6" s="50">
        <f t="shared" si="1"/>
        <v>1.1935151333396775E-2</v>
      </c>
      <c r="U6" s="6"/>
    </row>
    <row r="7" spans="1:21">
      <c r="A7" s="14" t="s">
        <v>18</v>
      </c>
      <c r="B7" s="57">
        <v>17</v>
      </c>
      <c r="C7" s="57">
        <v>22</v>
      </c>
      <c r="D7" s="57">
        <v>0</v>
      </c>
      <c r="E7" s="57">
        <v>0</v>
      </c>
      <c r="F7" s="57">
        <v>0</v>
      </c>
      <c r="G7" s="57">
        <v>0</v>
      </c>
      <c r="H7" s="57">
        <v>0</v>
      </c>
      <c r="I7" s="61">
        <v>0</v>
      </c>
      <c r="J7" s="57">
        <v>58</v>
      </c>
      <c r="K7" s="57">
        <v>3</v>
      </c>
      <c r="L7" s="57">
        <v>7</v>
      </c>
      <c r="M7" s="58">
        <v>4</v>
      </c>
      <c r="N7" s="57">
        <v>0</v>
      </c>
      <c r="O7" s="57">
        <v>10</v>
      </c>
      <c r="P7" s="57">
        <v>0</v>
      </c>
      <c r="Q7" s="57">
        <v>0</v>
      </c>
      <c r="R7" s="57">
        <v>0</v>
      </c>
      <c r="S7" s="60">
        <f t="shared" si="0"/>
        <v>121</v>
      </c>
      <c r="T7" s="50">
        <f t="shared" si="1"/>
        <v>9.1750528039454243E-4</v>
      </c>
      <c r="U7" s="6"/>
    </row>
    <row r="8" spans="1:21">
      <c r="A8" s="14" t="s">
        <v>69</v>
      </c>
      <c r="B8" s="57">
        <v>1278</v>
      </c>
      <c r="C8" s="57">
        <v>2951</v>
      </c>
      <c r="D8" s="57">
        <v>64</v>
      </c>
      <c r="E8" s="57">
        <v>168</v>
      </c>
      <c r="F8" s="57">
        <v>103</v>
      </c>
      <c r="G8" s="57">
        <v>28543</v>
      </c>
      <c r="H8" s="57">
        <v>20</v>
      </c>
      <c r="I8" s="57">
        <v>85</v>
      </c>
      <c r="J8" s="57">
        <v>5010</v>
      </c>
      <c r="K8" s="57">
        <v>782</v>
      </c>
      <c r="L8" s="57">
        <v>2161</v>
      </c>
      <c r="M8" s="58">
        <v>115</v>
      </c>
      <c r="N8" s="57">
        <v>12167</v>
      </c>
      <c r="O8" s="57">
        <v>2075</v>
      </c>
      <c r="P8" s="57">
        <v>1215</v>
      </c>
      <c r="Q8" s="57">
        <v>385</v>
      </c>
      <c r="R8" s="57">
        <v>4305</v>
      </c>
      <c r="S8" s="60">
        <f t="shared" si="0"/>
        <v>61427</v>
      </c>
      <c r="T8" s="50">
        <f t="shared" si="1"/>
        <v>0.46578179222145089</v>
      </c>
      <c r="U8" s="6"/>
    </row>
    <row r="9" spans="1:21">
      <c r="A9" s="14" t="s">
        <v>19</v>
      </c>
      <c r="B9" s="57">
        <v>13339</v>
      </c>
      <c r="C9" s="57">
        <v>6508</v>
      </c>
      <c r="D9" s="57">
        <v>4552</v>
      </c>
      <c r="E9" s="57">
        <v>1710</v>
      </c>
      <c r="F9" s="57">
        <v>22009</v>
      </c>
      <c r="G9" s="57">
        <v>94673</v>
      </c>
      <c r="H9" s="57">
        <v>1623</v>
      </c>
      <c r="I9" s="57">
        <v>2499</v>
      </c>
      <c r="J9" s="57">
        <v>14951</v>
      </c>
      <c r="K9" s="57">
        <v>791</v>
      </c>
      <c r="L9" s="57">
        <v>8541</v>
      </c>
      <c r="M9" s="58">
        <v>6895</v>
      </c>
      <c r="N9" s="57">
        <v>47654</v>
      </c>
      <c r="O9" s="57">
        <v>77529</v>
      </c>
      <c r="P9" s="57">
        <v>4257</v>
      </c>
      <c r="Q9" s="57">
        <v>2</v>
      </c>
      <c r="R9" s="57">
        <v>10451</v>
      </c>
      <c r="S9" s="60">
        <f t="shared" si="0"/>
        <v>317984</v>
      </c>
      <c r="T9" s="50">
        <f t="shared" si="1"/>
        <v>2.4111735461237864</v>
      </c>
      <c r="U9" s="6"/>
    </row>
    <row r="10" spans="1:21">
      <c r="A10" s="14" t="s">
        <v>20</v>
      </c>
      <c r="B10" s="57">
        <v>21021</v>
      </c>
      <c r="C10" s="57">
        <v>18006</v>
      </c>
      <c r="D10" s="57">
        <v>13449</v>
      </c>
      <c r="E10" s="57">
        <v>9870</v>
      </c>
      <c r="F10" s="57">
        <v>21759</v>
      </c>
      <c r="G10" s="57">
        <v>179951</v>
      </c>
      <c r="H10" s="57">
        <v>2238</v>
      </c>
      <c r="I10" s="57">
        <v>7816</v>
      </c>
      <c r="J10" s="57">
        <v>15329</v>
      </c>
      <c r="K10" s="57">
        <v>1707</v>
      </c>
      <c r="L10" s="57">
        <v>14911</v>
      </c>
      <c r="M10" s="58">
        <v>3112</v>
      </c>
      <c r="N10" s="57">
        <v>74692</v>
      </c>
      <c r="O10" s="57">
        <v>22886</v>
      </c>
      <c r="P10" s="57">
        <v>15150</v>
      </c>
      <c r="Q10" s="57">
        <v>7490</v>
      </c>
      <c r="R10" s="57">
        <v>20972</v>
      </c>
      <c r="S10" s="60">
        <f t="shared" si="0"/>
        <v>450359</v>
      </c>
      <c r="T10" s="50">
        <f t="shared" si="1"/>
        <v>3.4149319055636838</v>
      </c>
      <c r="U10" s="6"/>
    </row>
    <row r="11" spans="1:21">
      <c r="A11" s="14" t="s">
        <v>21</v>
      </c>
      <c r="B11" s="57">
        <v>53396</v>
      </c>
      <c r="C11" s="57">
        <v>47780</v>
      </c>
      <c r="D11" s="57">
        <v>22499</v>
      </c>
      <c r="E11" s="57">
        <v>12859</v>
      </c>
      <c r="F11" s="57">
        <v>144105</v>
      </c>
      <c r="G11" s="57">
        <v>685669</v>
      </c>
      <c r="H11" s="57">
        <v>6780</v>
      </c>
      <c r="I11" s="57">
        <v>15369</v>
      </c>
      <c r="J11" s="57">
        <v>119088</v>
      </c>
      <c r="K11" s="57">
        <v>5816</v>
      </c>
      <c r="L11" s="57">
        <v>56323</v>
      </c>
      <c r="M11" s="58">
        <v>16900</v>
      </c>
      <c r="N11" s="57">
        <v>223784</v>
      </c>
      <c r="O11" s="57">
        <v>88300</v>
      </c>
      <c r="P11" s="57">
        <v>51913</v>
      </c>
      <c r="Q11" s="57">
        <v>26344</v>
      </c>
      <c r="R11" s="57">
        <v>42212</v>
      </c>
      <c r="S11" s="60">
        <f t="shared" si="0"/>
        <v>1619137</v>
      </c>
      <c r="T11" s="50">
        <f t="shared" si="1"/>
        <v>12.277411133737012</v>
      </c>
      <c r="U11" s="6"/>
    </row>
    <row r="12" spans="1:21">
      <c r="A12" s="16" t="s">
        <v>23</v>
      </c>
      <c r="B12" s="62">
        <f t="shared" ref="B12:R12" si="2">SUM(B5:B11)</f>
        <v>106223</v>
      </c>
      <c r="C12" s="62">
        <f t="shared" si="2"/>
        <v>107684</v>
      </c>
      <c r="D12" s="62">
        <f t="shared" si="2"/>
        <v>47720</v>
      </c>
      <c r="E12" s="62">
        <f t="shared" si="2"/>
        <v>29998</v>
      </c>
      <c r="F12" s="62">
        <f t="shared" si="2"/>
        <v>246710</v>
      </c>
      <c r="G12" s="62">
        <f t="shared" si="2"/>
        <v>1257883</v>
      </c>
      <c r="H12" s="62">
        <f t="shared" si="2"/>
        <v>13329</v>
      </c>
      <c r="I12" s="62">
        <f t="shared" si="2"/>
        <v>30980</v>
      </c>
      <c r="J12" s="62">
        <f t="shared" si="2"/>
        <v>209264</v>
      </c>
      <c r="K12" s="62">
        <f t="shared" si="2"/>
        <v>13382</v>
      </c>
      <c r="L12" s="62">
        <f t="shared" si="2"/>
        <v>99208</v>
      </c>
      <c r="M12" s="62">
        <f t="shared" si="2"/>
        <v>36487</v>
      </c>
      <c r="N12" s="62">
        <f t="shared" si="2"/>
        <v>526385</v>
      </c>
      <c r="O12" s="62">
        <f t="shared" si="2"/>
        <v>234895</v>
      </c>
      <c r="P12" s="62">
        <f t="shared" si="2"/>
        <v>93000</v>
      </c>
      <c r="Q12" s="62">
        <f t="shared" si="2"/>
        <v>40911</v>
      </c>
      <c r="R12" s="62">
        <f t="shared" si="2"/>
        <v>100165</v>
      </c>
      <c r="S12" s="60">
        <f t="shared" si="0"/>
        <v>3194224</v>
      </c>
      <c r="T12" s="51">
        <f t="shared" ref="T12:T36" si="3">S12/S$66*100</f>
        <v>24.2208048492808</v>
      </c>
      <c r="U12" s="6"/>
    </row>
    <row r="13" spans="1:21">
      <c r="A13" s="14" t="s">
        <v>24</v>
      </c>
      <c r="B13" s="57">
        <v>7498</v>
      </c>
      <c r="C13" s="57">
        <f>28068+1124</f>
        <v>29192</v>
      </c>
      <c r="D13" s="57">
        <f>13051+680</f>
        <v>13731</v>
      </c>
      <c r="E13" s="57">
        <v>1981</v>
      </c>
      <c r="F13" s="57">
        <f>201065+30257</f>
        <v>231322</v>
      </c>
      <c r="G13" s="57">
        <v>51413</v>
      </c>
      <c r="H13" s="57">
        <v>3866</v>
      </c>
      <c r="I13" s="57">
        <v>1830</v>
      </c>
      <c r="J13" s="57">
        <v>58626</v>
      </c>
      <c r="K13" s="57">
        <f>1837+96</f>
        <v>1933</v>
      </c>
      <c r="L13" s="57">
        <f>20213+889</f>
        <v>21102</v>
      </c>
      <c r="M13" s="58">
        <f>8534+227</f>
        <v>8761</v>
      </c>
      <c r="N13" s="57">
        <f>80012+8614</f>
        <v>88626</v>
      </c>
      <c r="O13" s="57">
        <f>58855+2939</f>
        <v>61794</v>
      </c>
      <c r="P13" s="57">
        <v>5393</v>
      </c>
      <c r="Q13" s="57">
        <v>2119</v>
      </c>
      <c r="R13" s="57">
        <v>11517</v>
      </c>
      <c r="S13" s="60">
        <f t="shared" si="0"/>
        <v>600704</v>
      </c>
      <c r="T13" s="50">
        <f t="shared" si="3"/>
        <v>4.5549511731745724</v>
      </c>
      <c r="U13" s="6"/>
    </row>
    <row r="14" spans="1:21">
      <c r="A14" s="14" t="s">
        <v>25</v>
      </c>
      <c r="B14" s="57">
        <v>10226</v>
      </c>
      <c r="C14" s="57">
        <v>37044</v>
      </c>
      <c r="D14" s="57">
        <v>21056</v>
      </c>
      <c r="E14" s="57">
        <v>2736</v>
      </c>
      <c r="F14" s="57">
        <v>327393</v>
      </c>
      <c r="G14" s="57">
        <v>54259</v>
      </c>
      <c r="H14" s="57">
        <v>4855</v>
      </c>
      <c r="I14" s="57">
        <v>3505</v>
      </c>
      <c r="J14" s="57">
        <v>84399</v>
      </c>
      <c r="K14" s="57">
        <v>2367</v>
      </c>
      <c r="L14" s="57">
        <v>49221</v>
      </c>
      <c r="M14" s="58">
        <v>16566</v>
      </c>
      <c r="N14" s="57">
        <v>104249</v>
      </c>
      <c r="O14" s="57">
        <v>76314</v>
      </c>
      <c r="P14" s="57">
        <v>9278</v>
      </c>
      <c r="Q14" s="57">
        <v>5542</v>
      </c>
      <c r="R14" s="57">
        <v>12587</v>
      </c>
      <c r="S14" s="60">
        <f t="shared" si="0"/>
        <v>821597</v>
      </c>
      <c r="T14" s="50">
        <f t="shared" si="3"/>
        <v>6.2299139326968174</v>
      </c>
      <c r="U14" s="6"/>
    </row>
    <row r="15" spans="1:21">
      <c r="A15" s="16" t="s">
        <v>26</v>
      </c>
      <c r="B15" s="62">
        <f t="shared" ref="B15:R15" si="4">+B14+B13</f>
        <v>17724</v>
      </c>
      <c r="C15" s="62">
        <f t="shared" si="4"/>
        <v>66236</v>
      </c>
      <c r="D15" s="62">
        <f t="shared" si="4"/>
        <v>34787</v>
      </c>
      <c r="E15" s="62">
        <f t="shared" si="4"/>
        <v>4717</v>
      </c>
      <c r="F15" s="62">
        <f t="shared" si="4"/>
        <v>558715</v>
      </c>
      <c r="G15" s="62">
        <f t="shared" si="4"/>
        <v>105672</v>
      </c>
      <c r="H15" s="62">
        <f t="shared" si="4"/>
        <v>8721</v>
      </c>
      <c r="I15" s="62">
        <f t="shared" si="4"/>
        <v>5335</v>
      </c>
      <c r="J15" s="62">
        <f t="shared" si="4"/>
        <v>143025</v>
      </c>
      <c r="K15" s="62">
        <f t="shared" si="4"/>
        <v>4300</v>
      </c>
      <c r="L15" s="62">
        <f t="shared" si="4"/>
        <v>70323</v>
      </c>
      <c r="M15" s="62">
        <f t="shared" si="4"/>
        <v>25327</v>
      </c>
      <c r="N15" s="62">
        <f t="shared" si="4"/>
        <v>192875</v>
      </c>
      <c r="O15" s="62">
        <f t="shared" si="4"/>
        <v>138108</v>
      </c>
      <c r="P15" s="62">
        <f t="shared" si="4"/>
        <v>14671</v>
      </c>
      <c r="Q15" s="62">
        <f t="shared" si="4"/>
        <v>7661</v>
      </c>
      <c r="R15" s="62">
        <f t="shared" si="4"/>
        <v>24104</v>
      </c>
      <c r="S15" s="60">
        <f t="shared" si="0"/>
        <v>1422301</v>
      </c>
      <c r="T15" s="51">
        <f t="shared" si="3"/>
        <v>10.78486510587139</v>
      </c>
      <c r="U15" s="6"/>
    </row>
    <row r="16" spans="1:21">
      <c r="A16" s="16" t="s">
        <v>27</v>
      </c>
      <c r="B16" s="62">
        <v>17274</v>
      </c>
      <c r="C16" s="62">
        <v>24806</v>
      </c>
      <c r="D16" s="62">
        <v>14288</v>
      </c>
      <c r="E16" s="62">
        <v>8535</v>
      </c>
      <c r="F16" s="62">
        <v>80730</v>
      </c>
      <c r="G16" s="62">
        <v>224579</v>
      </c>
      <c r="H16" s="62">
        <v>3553</v>
      </c>
      <c r="I16" s="62">
        <v>12049</v>
      </c>
      <c r="J16" s="62">
        <v>109312</v>
      </c>
      <c r="K16" s="62">
        <f>2086+16+1+54</f>
        <v>2157</v>
      </c>
      <c r="L16" s="62">
        <v>25219</v>
      </c>
      <c r="M16" s="63">
        <v>8491</v>
      </c>
      <c r="N16" s="62">
        <v>335267</v>
      </c>
      <c r="O16" s="62">
        <v>64327</v>
      </c>
      <c r="P16" s="62">
        <v>12324</v>
      </c>
      <c r="Q16" s="62">
        <v>8462</v>
      </c>
      <c r="R16" s="62">
        <v>13704</v>
      </c>
      <c r="S16" s="60">
        <f t="shared" si="0"/>
        <v>965077</v>
      </c>
      <c r="T16" s="51">
        <f t="shared" si="3"/>
        <v>7.3178780453497838</v>
      </c>
      <c r="U16" s="6"/>
    </row>
    <row r="17" spans="1:21">
      <c r="A17" s="16" t="s">
        <v>74</v>
      </c>
      <c r="B17" s="62">
        <v>0</v>
      </c>
      <c r="C17" s="62">
        <v>0</v>
      </c>
      <c r="D17" s="62">
        <v>0</v>
      </c>
      <c r="E17" s="62">
        <v>0</v>
      </c>
      <c r="F17" s="62">
        <v>0</v>
      </c>
      <c r="G17" s="62">
        <v>0</v>
      </c>
      <c r="H17" s="62">
        <v>0</v>
      </c>
      <c r="I17" s="62">
        <v>0</v>
      </c>
      <c r="J17" s="62">
        <v>0</v>
      </c>
      <c r="K17" s="62">
        <v>0</v>
      </c>
      <c r="L17" s="62">
        <v>1</v>
      </c>
      <c r="M17" s="63">
        <v>0</v>
      </c>
      <c r="N17" s="62">
        <v>0</v>
      </c>
      <c r="O17" s="62">
        <v>0</v>
      </c>
      <c r="P17" s="62">
        <v>128</v>
      </c>
      <c r="Q17" s="62">
        <v>0</v>
      </c>
      <c r="R17" s="62">
        <v>0</v>
      </c>
      <c r="S17" s="60">
        <f t="shared" si="0"/>
        <v>129</v>
      </c>
      <c r="T17" s="51">
        <f t="shared" si="3"/>
        <v>9.7816678653633036E-4</v>
      </c>
      <c r="U17" s="6"/>
    </row>
    <row r="18" spans="1:21">
      <c r="A18" s="16" t="s">
        <v>28</v>
      </c>
      <c r="B18" s="62">
        <v>3602</v>
      </c>
      <c r="C18" s="62">
        <v>17667</v>
      </c>
      <c r="D18" s="62">
        <v>2279</v>
      </c>
      <c r="E18" s="62">
        <v>7445</v>
      </c>
      <c r="F18" s="62">
        <v>0</v>
      </c>
      <c r="G18" s="62">
        <v>36120</v>
      </c>
      <c r="H18" s="62">
        <v>2148</v>
      </c>
      <c r="I18" s="62">
        <v>1564</v>
      </c>
      <c r="J18" s="62">
        <v>16068</v>
      </c>
      <c r="K18" s="62">
        <v>1368</v>
      </c>
      <c r="L18" s="62">
        <v>25130</v>
      </c>
      <c r="M18" s="63">
        <v>3573</v>
      </c>
      <c r="N18" s="62">
        <v>43432</v>
      </c>
      <c r="O18" s="62">
        <v>10620</v>
      </c>
      <c r="P18" s="62">
        <v>71221</v>
      </c>
      <c r="Q18" s="62">
        <v>9978</v>
      </c>
      <c r="R18" s="62">
        <v>7251</v>
      </c>
      <c r="S18" s="60">
        <f t="shared" si="0"/>
        <v>259466</v>
      </c>
      <c r="T18" s="51">
        <f t="shared" si="3"/>
        <v>1.9674497940731432</v>
      </c>
      <c r="U18" s="6"/>
    </row>
    <row r="19" spans="1:21" s="38" customFormat="1">
      <c r="A19" s="39" t="s">
        <v>75</v>
      </c>
      <c r="B19" s="57">
        <v>0</v>
      </c>
      <c r="C19" s="57">
        <v>9</v>
      </c>
      <c r="D19" s="57">
        <v>0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10</v>
      </c>
      <c r="K19" s="57">
        <v>18</v>
      </c>
      <c r="L19" s="57">
        <v>12</v>
      </c>
      <c r="M19" s="58">
        <v>0</v>
      </c>
      <c r="N19" s="57">
        <v>0</v>
      </c>
      <c r="O19" s="57">
        <v>1</v>
      </c>
      <c r="P19" s="57">
        <v>71</v>
      </c>
      <c r="Q19" s="57">
        <v>1</v>
      </c>
      <c r="R19" s="57">
        <v>0</v>
      </c>
      <c r="S19" s="64">
        <f t="shared" si="0"/>
        <v>122</v>
      </c>
      <c r="T19" s="52">
        <f t="shared" si="3"/>
        <v>9.2508796866226596E-4</v>
      </c>
      <c r="U19" s="27"/>
    </row>
    <row r="20" spans="1:21">
      <c r="A20" s="14" t="s">
        <v>29</v>
      </c>
      <c r="B20" s="57">
        <v>56</v>
      </c>
      <c r="C20" s="57">
        <v>50</v>
      </c>
      <c r="D20" s="57">
        <v>18</v>
      </c>
      <c r="E20" s="57">
        <v>0</v>
      </c>
      <c r="F20" s="57">
        <v>121</v>
      </c>
      <c r="G20" s="57">
        <v>699</v>
      </c>
      <c r="H20" s="57">
        <v>469</v>
      </c>
      <c r="I20" s="57">
        <v>0</v>
      </c>
      <c r="J20" s="57">
        <v>339</v>
      </c>
      <c r="K20" s="57">
        <v>32</v>
      </c>
      <c r="L20" s="57">
        <v>5</v>
      </c>
      <c r="M20" s="58">
        <v>0</v>
      </c>
      <c r="N20" s="57">
        <v>12</v>
      </c>
      <c r="O20" s="57">
        <v>31</v>
      </c>
      <c r="P20" s="57">
        <v>126</v>
      </c>
      <c r="Q20" s="57">
        <v>6</v>
      </c>
      <c r="R20" s="57">
        <v>273</v>
      </c>
      <c r="S20" s="60">
        <f t="shared" si="0"/>
        <v>2237</v>
      </c>
      <c r="T20" s="50">
        <f t="shared" si="3"/>
        <v>1.6962473654897451E-2</v>
      </c>
      <c r="U20" s="6"/>
    </row>
    <row r="21" spans="1:21">
      <c r="A21" s="14" t="s">
        <v>30</v>
      </c>
      <c r="B21" s="57">
        <v>21870</v>
      </c>
      <c r="C21" s="57">
        <v>33852</v>
      </c>
      <c r="D21" s="57">
        <v>10627</v>
      </c>
      <c r="E21" s="57">
        <v>5402</v>
      </c>
      <c r="F21" s="57">
        <v>64170</v>
      </c>
      <c r="G21" s="57">
        <v>229352</v>
      </c>
      <c r="H21" s="57">
        <v>6036</v>
      </c>
      <c r="I21" s="57">
        <v>7482</v>
      </c>
      <c r="J21" s="57">
        <v>89000</v>
      </c>
      <c r="K21" s="57">
        <v>2063</v>
      </c>
      <c r="L21" s="57">
        <v>25447</v>
      </c>
      <c r="M21" s="58">
        <v>10036</v>
      </c>
      <c r="N21" s="57">
        <v>269766</v>
      </c>
      <c r="O21" s="57">
        <v>76470</v>
      </c>
      <c r="P21" s="57">
        <v>6571</v>
      </c>
      <c r="Q21" s="57">
        <v>3317</v>
      </c>
      <c r="R21" s="57">
        <v>13769</v>
      </c>
      <c r="S21" s="60">
        <f t="shared" si="0"/>
        <v>875230</v>
      </c>
      <c r="T21" s="50">
        <f t="shared" si="3"/>
        <v>6.6365962525596318</v>
      </c>
      <c r="U21" s="6"/>
    </row>
    <row r="22" spans="1:21">
      <c r="A22" s="14" t="s">
        <v>22</v>
      </c>
      <c r="B22" s="57">
        <v>0</v>
      </c>
      <c r="C22" s="57">
        <v>0</v>
      </c>
      <c r="D22" s="57">
        <v>0</v>
      </c>
      <c r="E22" s="57">
        <v>0</v>
      </c>
      <c r="F22" s="57">
        <v>33</v>
      </c>
      <c r="G22" s="57">
        <v>0</v>
      </c>
      <c r="H22" s="57">
        <v>0</v>
      </c>
      <c r="I22" s="57">
        <v>0</v>
      </c>
      <c r="J22" s="57">
        <v>0</v>
      </c>
      <c r="K22" s="57">
        <v>0</v>
      </c>
      <c r="L22" s="57">
        <v>0</v>
      </c>
      <c r="M22" s="58">
        <v>0</v>
      </c>
      <c r="N22" s="57">
        <v>0</v>
      </c>
      <c r="O22" s="57">
        <v>0</v>
      </c>
      <c r="P22" s="57">
        <v>0</v>
      </c>
      <c r="Q22" s="57">
        <v>0</v>
      </c>
      <c r="R22" s="57">
        <v>0</v>
      </c>
      <c r="S22" s="60">
        <f t="shared" si="0"/>
        <v>33</v>
      </c>
      <c r="T22" s="50">
        <f t="shared" si="3"/>
        <v>2.5022871283487518E-4</v>
      </c>
      <c r="U22" s="6"/>
    </row>
    <row r="23" spans="1:21">
      <c r="A23" s="16" t="s">
        <v>31</v>
      </c>
      <c r="B23" s="62">
        <f t="shared" ref="B23:I23" si="5">SUM(B19:B22)</f>
        <v>21926</v>
      </c>
      <c r="C23" s="62">
        <f t="shared" si="5"/>
        <v>33911</v>
      </c>
      <c r="D23" s="62">
        <f t="shared" si="5"/>
        <v>10645</v>
      </c>
      <c r="E23" s="62">
        <f t="shared" si="5"/>
        <v>5402</v>
      </c>
      <c r="F23" s="62">
        <f t="shared" si="5"/>
        <v>64324</v>
      </c>
      <c r="G23" s="62">
        <f t="shared" si="5"/>
        <v>230051</v>
      </c>
      <c r="H23" s="62">
        <f t="shared" si="5"/>
        <v>6505</v>
      </c>
      <c r="I23" s="62">
        <f t="shared" si="5"/>
        <v>7482</v>
      </c>
      <c r="J23" s="62">
        <f>SUM(J19:J22)</f>
        <v>89349</v>
      </c>
      <c r="K23" s="62">
        <f>SUM(K19:K22)</f>
        <v>2113</v>
      </c>
      <c r="L23" s="62">
        <f t="shared" ref="L23:R23" si="6">SUM(L19:L22)</f>
        <v>25464</v>
      </c>
      <c r="M23" s="62">
        <f t="shared" si="6"/>
        <v>10036</v>
      </c>
      <c r="N23" s="62">
        <f t="shared" si="6"/>
        <v>269778</v>
      </c>
      <c r="O23" s="62">
        <f t="shared" si="6"/>
        <v>76502</v>
      </c>
      <c r="P23" s="62">
        <f t="shared" si="6"/>
        <v>6768</v>
      </c>
      <c r="Q23" s="62">
        <f t="shared" si="6"/>
        <v>3324</v>
      </c>
      <c r="R23" s="62">
        <f t="shared" si="6"/>
        <v>14042</v>
      </c>
      <c r="S23" s="60">
        <f t="shared" si="0"/>
        <v>877622</v>
      </c>
      <c r="T23" s="51">
        <f t="shared" si="3"/>
        <v>6.6547340428960249</v>
      </c>
      <c r="U23" s="9"/>
    </row>
    <row r="24" spans="1:21" s="3" customFormat="1">
      <c r="A24" s="20" t="s">
        <v>32</v>
      </c>
      <c r="B24" s="57">
        <v>7211</v>
      </c>
      <c r="C24" s="57">
        <v>16105</v>
      </c>
      <c r="D24" s="57">
        <v>2938</v>
      </c>
      <c r="E24" s="57">
        <v>1328</v>
      </c>
      <c r="F24" s="57">
        <v>97441</v>
      </c>
      <c r="G24" s="57">
        <v>45764</v>
      </c>
      <c r="H24" s="57">
        <v>318</v>
      </c>
      <c r="I24" s="57">
        <v>3784</v>
      </c>
      <c r="J24" s="57">
        <v>43988</v>
      </c>
      <c r="K24" s="57">
        <v>737</v>
      </c>
      <c r="L24" s="57">
        <v>3950</v>
      </c>
      <c r="M24" s="58">
        <v>4495</v>
      </c>
      <c r="N24" s="57">
        <v>26228</v>
      </c>
      <c r="O24" s="57">
        <v>45241</v>
      </c>
      <c r="P24" s="57">
        <v>4370</v>
      </c>
      <c r="Q24" s="57">
        <v>141</v>
      </c>
      <c r="R24" s="57">
        <v>5396</v>
      </c>
      <c r="S24" s="60">
        <f t="shared" si="0"/>
        <v>309435</v>
      </c>
      <c r="T24" s="50">
        <f t="shared" si="3"/>
        <v>2.3463491441230184</v>
      </c>
      <c r="U24" s="21"/>
    </row>
    <row r="25" spans="1:21" s="3" customFormat="1">
      <c r="A25" s="20" t="s">
        <v>33</v>
      </c>
      <c r="B25" s="57">
        <v>16442</v>
      </c>
      <c r="C25" s="57">
        <v>50040</v>
      </c>
      <c r="D25" s="57">
        <v>12151</v>
      </c>
      <c r="E25" s="57">
        <v>2818</v>
      </c>
      <c r="F25" s="57">
        <v>382504</v>
      </c>
      <c r="G25" s="57">
        <v>110039</v>
      </c>
      <c r="H25" s="57">
        <v>2790</v>
      </c>
      <c r="I25" s="57">
        <v>6090</v>
      </c>
      <c r="J25" s="57">
        <v>94946</v>
      </c>
      <c r="K25" s="57">
        <v>3880</v>
      </c>
      <c r="L25" s="57">
        <v>35209</v>
      </c>
      <c r="M25" s="58">
        <v>20447</v>
      </c>
      <c r="N25" s="57">
        <v>75618</v>
      </c>
      <c r="O25" s="57">
        <v>77087</v>
      </c>
      <c r="P25" s="57">
        <v>11308</v>
      </c>
      <c r="Q25" s="57">
        <v>2682</v>
      </c>
      <c r="R25" s="57">
        <v>14821</v>
      </c>
      <c r="S25" s="60">
        <f t="shared" si="0"/>
        <v>918872</v>
      </c>
      <c r="T25" s="50">
        <f t="shared" si="3"/>
        <v>6.9675199339396201</v>
      </c>
      <c r="U25" s="21"/>
    </row>
    <row r="26" spans="1:21">
      <c r="A26" s="16" t="s">
        <v>34</v>
      </c>
      <c r="B26" s="62">
        <f t="shared" ref="B26:R26" si="7">+B25+B24</f>
        <v>23653</v>
      </c>
      <c r="C26" s="62">
        <f t="shared" si="7"/>
        <v>66145</v>
      </c>
      <c r="D26" s="62">
        <f t="shared" si="7"/>
        <v>15089</v>
      </c>
      <c r="E26" s="62">
        <f t="shared" si="7"/>
        <v>4146</v>
      </c>
      <c r="F26" s="62">
        <f t="shared" si="7"/>
        <v>479945</v>
      </c>
      <c r="G26" s="62">
        <f t="shared" si="7"/>
        <v>155803</v>
      </c>
      <c r="H26" s="62">
        <f t="shared" si="7"/>
        <v>3108</v>
      </c>
      <c r="I26" s="62">
        <f t="shared" si="7"/>
        <v>9874</v>
      </c>
      <c r="J26" s="62">
        <f t="shared" si="7"/>
        <v>138934</v>
      </c>
      <c r="K26" s="62">
        <f t="shared" si="7"/>
        <v>4617</v>
      </c>
      <c r="L26" s="62">
        <f t="shared" si="7"/>
        <v>39159</v>
      </c>
      <c r="M26" s="62">
        <f t="shared" si="7"/>
        <v>24942</v>
      </c>
      <c r="N26" s="62">
        <f t="shared" si="7"/>
        <v>101846</v>
      </c>
      <c r="O26" s="62">
        <f t="shared" si="7"/>
        <v>122328</v>
      </c>
      <c r="P26" s="62">
        <f t="shared" si="7"/>
        <v>15678</v>
      </c>
      <c r="Q26" s="62">
        <f t="shared" si="7"/>
        <v>2823</v>
      </c>
      <c r="R26" s="62">
        <f t="shared" si="7"/>
        <v>20217</v>
      </c>
      <c r="S26" s="60">
        <f t="shared" si="0"/>
        <v>1228307</v>
      </c>
      <c r="T26" s="51">
        <f t="shared" si="3"/>
        <v>9.3138690780626376</v>
      </c>
      <c r="U26" s="6"/>
    </row>
    <row r="27" spans="1:21">
      <c r="A27" s="14" t="s">
        <v>35</v>
      </c>
      <c r="B27" s="57">
        <v>0</v>
      </c>
      <c r="C27" s="57">
        <v>0</v>
      </c>
      <c r="D27" s="57">
        <v>0</v>
      </c>
      <c r="E27" s="57">
        <v>0</v>
      </c>
      <c r="F27" s="57">
        <v>0</v>
      </c>
      <c r="G27" s="57">
        <v>0</v>
      </c>
      <c r="H27" s="57">
        <v>0</v>
      </c>
      <c r="I27" s="57">
        <v>0</v>
      </c>
      <c r="J27" s="57">
        <v>1</v>
      </c>
      <c r="K27" s="57">
        <v>0</v>
      </c>
      <c r="L27" s="57">
        <v>0</v>
      </c>
      <c r="M27" s="58">
        <v>0</v>
      </c>
      <c r="N27" s="57">
        <v>0</v>
      </c>
      <c r="O27" s="57">
        <v>0</v>
      </c>
      <c r="P27" s="57">
        <v>0</v>
      </c>
      <c r="Q27" s="57">
        <v>0</v>
      </c>
      <c r="R27" s="57">
        <v>0</v>
      </c>
      <c r="S27" s="60">
        <f t="shared" si="0"/>
        <v>1</v>
      </c>
      <c r="T27" s="50">
        <f t="shared" ref="T27:T35" si="8">S27/S$66*100</f>
        <v>7.5826882677234917E-6</v>
      </c>
      <c r="U27" s="6"/>
    </row>
    <row r="28" spans="1:21">
      <c r="A28" s="14" t="s">
        <v>36</v>
      </c>
      <c r="B28" s="57">
        <v>1808</v>
      </c>
      <c r="C28" s="57">
        <v>2559</v>
      </c>
      <c r="D28" s="57">
        <v>2277</v>
      </c>
      <c r="E28" s="57">
        <v>2521</v>
      </c>
      <c r="F28" s="57">
        <v>0</v>
      </c>
      <c r="G28" s="57">
        <v>21072</v>
      </c>
      <c r="H28" s="57">
        <v>539</v>
      </c>
      <c r="I28" s="57">
        <v>1507</v>
      </c>
      <c r="J28" s="57">
        <v>4843</v>
      </c>
      <c r="K28" s="57">
        <v>216</v>
      </c>
      <c r="L28" s="57">
        <v>1299</v>
      </c>
      <c r="M28" s="58">
        <v>1635</v>
      </c>
      <c r="N28" s="57">
        <v>53417</v>
      </c>
      <c r="O28" s="57">
        <v>7821</v>
      </c>
      <c r="P28" s="57">
        <v>3581</v>
      </c>
      <c r="Q28" s="57">
        <v>2127</v>
      </c>
      <c r="R28" s="57">
        <v>3345</v>
      </c>
      <c r="S28" s="60">
        <f t="shared" si="0"/>
        <v>110567</v>
      </c>
      <c r="T28" s="50">
        <f t="shared" si="8"/>
        <v>0.8383950936973833</v>
      </c>
      <c r="U28" s="6"/>
    </row>
    <row r="29" spans="1:21">
      <c r="A29" s="14" t="s">
        <v>37</v>
      </c>
      <c r="B29" s="57">
        <v>316</v>
      </c>
      <c r="C29" s="57">
        <v>1346</v>
      </c>
      <c r="D29" s="57">
        <v>1</v>
      </c>
      <c r="E29" s="57">
        <v>213</v>
      </c>
      <c r="F29" s="57">
        <v>4457</v>
      </c>
      <c r="G29" s="57">
        <v>1682</v>
      </c>
      <c r="H29" s="57">
        <v>81</v>
      </c>
      <c r="I29" s="57">
        <v>500</v>
      </c>
      <c r="J29" s="57">
        <v>3290</v>
      </c>
      <c r="K29" s="57">
        <v>121</v>
      </c>
      <c r="L29" s="57">
        <v>1944</v>
      </c>
      <c r="M29" s="58">
        <v>338</v>
      </c>
      <c r="N29" s="57">
        <v>13269</v>
      </c>
      <c r="O29" s="57">
        <v>4700</v>
      </c>
      <c r="P29" s="57">
        <v>1532</v>
      </c>
      <c r="Q29" s="57">
        <v>1071</v>
      </c>
      <c r="R29" s="57">
        <v>943</v>
      </c>
      <c r="S29" s="60">
        <f t="shared" si="0"/>
        <v>35804</v>
      </c>
      <c r="T29" s="50">
        <f t="shared" si="8"/>
        <v>0.27149057073757188</v>
      </c>
      <c r="U29" s="6"/>
    </row>
    <row r="30" spans="1:21">
      <c r="A30" s="14" t="s">
        <v>38</v>
      </c>
      <c r="B30" s="57">
        <v>10101</v>
      </c>
      <c r="C30" s="57">
        <v>5729</v>
      </c>
      <c r="D30" s="57">
        <v>4777</v>
      </c>
      <c r="E30" s="57">
        <v>1630</v>
      </c>
      <c r="F30" s="57">
        <v>0</v>
      </c>
      <c r="G30" s="57">
        <v>58216</v>
      </c>
      <c r="H30" s="57">
        <v>0</v>
      </c>
      <c r="I30" s="57">
        <v>2236</v>
      </c>
      <c r="J30" s="57">
        <v>7427</v>
      </c>
      <c r="K30" s="57">
        <v>329</v>
      </c>
      <c r="L30" s="57">
        <v>8337</v>
      </c>
      <c r="M30" s="58">
        <v>1468</v>
      </c>
      <c r="N30" s="57">
        <v>45504</v>
      </c>
      <c r="O30" s="57">
        <v>15289</v>
      </c>
      <c r="P30" s="57">
        <v>5579</v>
      </c>
      <c r="Q30" s="57">
        <v>6702</v>
      </c>
      <c r="R30" s="57">
        <v>9989</v>
      </c>
      <c r="S30" s="60">
        <f t="shared" si="0"/>
        <v>183313</v>
      </c>
      <c r="T30" s="50">
        <f t="shared" si="8"/>
        <v>1.3900053344211964</v>
      </c>
      <c r="U30" s="6"/>
    </row>
    <row r="31" spans="1:21">
      <c r="A31" s="14" t="s">
        <v>39</v>
      </c>
      <c r="B31" s="57">
        <v>3678</v>
      </c>
      <c r="C31" s="57">
        <v>2394</v>
      </c>
      <c r="D31" s="57">
        <v>4712</v>
      </c>
      <c r="E31" s="57">
        <v>1737</v>
      </c>
      <c r="F31" s="57">
        <v>0</v>
      </c>
      <c r="G31" s="57">
        <v>34443</v>
      </c>
      <c r="H31" s="57">
        <v>279</v>
      </c>
      <c r="I31" s="57">
        <v>872</v>
      </c>
      <c r="J31" s="57">
        <v>4589</v>
      </c>
      <c r="K31" s="57">
        <v>109</v>
      </c>
      <c r="L31" s="57">
        <v>14481</v>
      </c>
      <c r="M31" s="58">
        <v>1882</v>
      </c>
      <c r="N31" s="57">
        <v>22693</v>
      </c>
      <c r="O31" s="57">
        <v>8971</v>
      </c>
      <c r="P31" s="57">
        <v>6518</v>
      </c>
      <c r="Q31" s="57">
        <v>5790</v>
      </c>
      <c r="R31" s="57">
        <v>4042</v>
      </c>
      <c r="S31" s="60">
        <f t="shared" si="0"/>
        <v>117190</v>
      </c>
      <c r="T31" s="50">
        <f t="shared" si="8"/>
        <v>0.88861523809451581</v>
      </c>
      <c r="U31" s="6"/>
    </row>
    <row r="32" spans="1:21">
      <c r="A32" s="14" t="s">
        <v>40</v>
      </c>
      <c r="B32" s="57">
        <f>7213+27</f>
        <v>7240</v>
      </c>
      <c r="C32" s="57">
        <f>16607+106</f>
        <v>16713</v>
      </c>
      <c r="D32" s="57">
        <v>8005</v>
      </c>
      <c r="E32" s="57">
        <v>7231</v>
      </c>
      <c r="F32" s="57">
        <v>75241</v>
      </c>
      <c r="G32" s="57">
        <v>70892</v>
      </c>
      <c r="H32" s="57">
        <v>6510</v>
      </c>
      <c r="I32" s="57">
        <v>11196</v>
      </c>
      <c r="J32" s="57">
        <v>57869</v>
      </c>
      <c r="K32" s="57">
        <f>927+161</f>
        <v>1088</v>
      </c>
      <c r="L32" s="57">
        <f>80+12821</f>
        <v>12901</v>
      </c>
      <c r="M32" s="58">
        <v>10668</v>
      </c>
      <c r="N32" s="57">
        <f>1195+153937</f>
        <v>155132</v>
      </c>
      <c r="O32" s="57">
        <v>55807</v>
      </c>
      <c r="P32" s="57">
        <v>10585</v>
      </c>
      <c r="Q32" s="57">
        <v>8317</v>
      </c>
      <c r="R32" s="57">
        <f>227+7968</f>
        <v>8195</v>
      </c>
      <c r="S32" s="60">
        <f t="shared" si="0"/>
        <v>523590</v>
      </c>
      <c r="T32" s="50">
        <f t="shared" si="8"/>
        <v>3.9702197500973431</v>
      </c>
      <c r="U32" s="6"/>
    </row>
    <row r="33" spans="1:21">
      <c r="A33" s="14" t="s">
        <v>41</v>
      </c>
      <c r="B33" s="57">
        <v>703</v>
      </c>
      <c r="C33" s="57">
        <v>568</v>
      </c>
      <c r="D33" s="57">
        <v>221</v>
      </c>
      <c r="E33" s="57">
        <v>1192</v>
      </c>
      <c r="F33" s="57">
        <v>0</v>
      </c>
      <c r="G33" s="57">
        <v>6549</v>
      </c>
      <c r="H33" s="57">
        <v>41</v>
      </c>
      <c r="I33" s="57">
        <v>199</v>
      </c>
      <c r="J33" s="57">
        <v>3097</v>
      </c>
      <c r="K33" s="57">
        <v>103</v>
      </c>
      <c r="L33" s="57">
        <v>798</v>
      </c>
      <c r="M33" s="58">
        <v>0</v>
      </c>
      <c r="N33" s="57">
        <v>3455</v>
      </c>
      <c r="O33" s="57">
        <v>1751</v>
      </c>
      <c r="P33" s="57">
        <v>5439</v>
      </c>
      <c r="Q33" s="57">
        <v>3754</v>
      </c>
      <c r="R33" s="57">
        <v>6011</v>
      </c>
      <c r="S33" s="60">
        <f t="shared" si="0"/>
        <v>33881</v>
      </c>
      <c r="T33" s="50">
        <f t="shared" si="8"/>
        <v>0.25690906119873963</v>
      </c>
      <c r="U33" s="6"/>
    </row>
    <row r="34" spans="1:21">
      <c r="A34" s="14" t="s">
        <v>42</v>
      </c>
      <c r="B34" s="57">
        <v>5468</v>
      </c>
      <c r="C34" s="57">
        <v>6678</v>
      </c>
      <c r="D34" s="57">
        <v>7934</v>
      </c>
      <c r="E34" s="57">
        <v>670</v>
      </c>
      <c r="F34" s="57">
        <v>0</v>
      </c>
      <c r="G34" s="57">
        <v>30903</v>
      </c>
      <c r="H34" s="57">
        <v>4044</v>
      </c>
      <c r="I34" s="57">
        <v>881</v>
      </c>
      <c r="J34" s="57">
        <v>18695</v>
      </c>
      <c r="K34" s="57">
        <v>544</v>
      </c>
      <c r="L34" s="57">
        <v>10226</v>
      </c>
      <c r="M34" s="58">
        <v>154</v>
      </c>
      <c r="N34" s="57">
        <v>34437</v>
      </c>
      <c r="O34" s="57">
        <v>3562</v>
      </c>
      <c r="P34" s="57">
        <v>2460</v>
      </c>
      <c r="Q34" s="57">
        <v>3087</v>
      </c>
      <c r="R34" s="57">
        <v>8351</v>
      </c>
      <c r="S34" s="60">
        <f t="shared" si="0"/>
        <v>138094</v>
      </c>
      <c r="T34" s="50">
        <f t="shared" si="8"/>
        <v>1.0471237536430078</v>
      </c>
      <c r="U34" s="6"/>
    </row>
    <row r="35" spans="1:21">
      <c r="A35" s="14" t="s">
        <v>43</v>
      </c>
      <c r="B35" s="57">
        <v>6280</v>
      </c>
      <c r="C35" s="57">
        <v>16094</v>
      </c>
      <c r="D35" s="57">
        <v>14769</v>
      </c>
      <c r="E35" s="57">
        <v>12065</v>
      </c>
      <c r="F35" s="57">
        <v>71755</v>
      </c>
      <c r="G35" s="57">
        <v>65939</v>
      </c>
      <c r="H35" s="57">
        <v>8866</v>
      </c>
      <c r="I35" s="57">
        <v>13109</v>
      </c>
      <c r="J35" s="57">
        <v>65603</v>
      </c>
      <c r="K35" s="57">
        <v>675</v>
      </c>
      <c r="L35" s="57">
        <v>23650</v>
      </c>
      <c r="M35" s="58">
        <v>7474</v>
      </c>
      <c r="N35" s="57">
        <v>98709</v>
      </c>
      <c r="O35" s="57">
        <v>49120</v>
      </c>
      <c r="P35" s="57">
        <v>20508</v>
      </c>
      <c r="Q35" s="57">
        <v>16016</v>
      </c>
      <c r="R35" s="57">
        <v>9881</v>
      </c>
      <c r="S35" s="60">
        <f t="shared" si="0"/>
        <v>500513</v>
      </c>
      <c r="T35" s="50">
        <f t="shared" si="8"/>
        <v>3.7952340529430875</v>
      </c>
      <c r="U35" s="6"/>
    </row>
    <row r="36" spans="1:21">
      <c r="A36" s="16" t="s">
        <v>44</v>
      </c>
      <c r="B36" s="62">
        <f>SUM(B27:B35)</f>
        <v>35594</v>
      </c>
      <c r="C36" s="62">
        <f t="shared" ref="C36:R36" si="9">SUM(C27:C35)</f>
        <v>52081</v>
      </c>
      <c r="D36" s="62">
        <f t="shared" si="9"/>
        <v>42696</v>
      </c>
      <c r="E36" s="62">
        <f t="shared" si="9"/>
        <v>27259</v>
      </c>
      <c r="F36" s="62">
        <f t="shared" si="9"/>
        <v>151453</v>
      </c>
      <c r="G36" s="62">
        <f t="shared" si="9"/>
        <v>289696</v>
      </c>
      <c r="H36" s="62">
        <f t="shared" si="9"/>
        <v>20360</v>
      </c>
      <c r="I36" s="62">
        <f t="shared" si="9"/>
        <v>30500</v>
      </c>
      <c r="J36" s="62">
        <f t="shared" si="9"/>
        <v>165414</v>
      </c>
      <c r="K36" s="62">
        <f t="shared" si="9"/>
        <v>3185</v>
      </c>
      <c r="L36" s="62">
        <f t="shared" si="9"/>
        <v>73636</v>
      </c>
      <c r="M36" s="62">
        <f t="shared" si="9"/>
        <v>23619</v>
      </c>
      <c r="N36" s="62">
        <f t="shared" si="9"/>
        <v>426616</v>
      </c>
      <c r="O36" s="62">
        <f t="shared" si="9"/>
        <v>147021</v>
      </c>
      <c r="P36" s="62">
        <f t="shared" si="9"/>
        <v>56202</v>
      </c>
      <c r="Q36" s="62">
        <f t="shared" si="9"/>
        <v>46864</v>
      </c>
      <c r="R36" s="62">
        <f t="shared" si="9"/>
        <v>50757</v>
      </c>
      <c r="S36" s="60">
        <f t="shared" si="0"/>
        <v>1642953</v>
      </c>
      <c r="T36" s="51">
        <f t="shared" si="3"/>
        <v>12.458000437521113</v>
      </c>
      <c r="U36" s="9"/>
    </row>
    <row r="37" spans="1:21">
      <c r="A37" s="14" t="s">
        <v>45</v>
      </c>
      <c r="B37" s="57">
        <v>1447</v>
      </c>
      <c r="C37" s="57">
        <v>2054</v>
      </c>
      <c r="D37" s="57">
        <v>176</v>
      </c>
      <c r="E37" s="57">
        <v>0</v>
      </c>
      <c r="F37" s="57">
        <v>6353</v>
      </c>
      <c r="G37" s="57">
        <v>2800</v>
      </c>
      <c r="H37" s="57">
        <v>477</v>
      </c>
      <c r="I37" s="57">
        <v>43</v>
      </c>
      <c r="J37" s="57">
        <v>30506</v>
      </c>
      <c r="K37" s="57">
        <v>222</v>
      </c>
      <c r="L37" s="65">
        <v>1055</v>
      </c>
      <c r="M37" s="58">
        <v>607</v>
      </c>
      <c r="N37" s="66">
        <v>5069</v>
      </c>
      <c r="O37" s="57">
        <v>2849</v>
      </c>
      <c r="P37" s="57">
        <v>125</v>
      </c>
      <c r="Q37" s="57">
        <v>46</v>
      </c>
      <c r="R37" s="57">
        <v>1249</v>
      </c>
      <c r="S37" s="60">
        <f t="shared" si="0"/>
        <v>55078</v>
      </c>
      <c r="T37" s="50">
        <f t="shared" ref="T37:T42" si="10">S37/S$66*100</f>
        <v>0.41763930440967439</v>
      </c>
      <c r="U37" s="6"/>
    </row>
    <row r="38" spans="1:21">
      <c r="A38" s="14" t="s">
        <v>88</v>
      </c>
      <c r="B38" s="57">
        <f>2837+8</f>
        <v>2845</v>
      </c>
      <c r="C38" s="57">
        <v>2334</v>
      </c>
      <c r="D38" s="57">
        <f>42+1</f>
        <v>43</v>
      </c>
      <c r="E38" s="57">
        <v>96</v>
      </c>
      <c r="F38" s="57">
        <v>8585</v>
      </c>
      <c r="G38" s="57">
        <v>14819</v>
      </c>
      <c r="H38" s="57">
        <v>627</v>
      </c>
      <c r="I38" s="57">
        <f>23+93</f>
        <v>116</v>
      </c>
      <c r="J38" s="57">
        <v>29948</v>
      </c>
      <c r="K38" s="57">
        <f>6+685</f>
        <v>691</v>
      </c>
      <c r="L38" s="67">
        <f>1+1+797</f>
        <v>799</v>
      </c>
      <c r="M38" s="58">
        <v>171</v>
      </c>
      <c r="N38" s="57">
        <f>137+10794</f>
        <v>10931</v>
      </c>
      <c r="O38" s="57">
        <f>5196</f>
        <v>5196</v>
      </c>
      <c r="P38" s="57">
        <f>1273</f>
        <v>1273</v>
      </c>
      <c r="Q38" s="57">
        <v>233</v>
      </c>
      <c r="R38" s="57">
        <v>3705</v>
      </c>
      <c r="S38" s="60">
        <f t="shared" si="0"/>
        <v>82412</v>
      </c>
      <c r="T38" s="50">
        <f t="shared" si="10"/>
        <v>0.62490450551962828</v>
      </c>
      <c r="U38" s="6"/>
    </row>
    <row r="39" spans="1:21">
      <c r="A39" s="14" t="s">
        <v>46</v>
      </c>
      <c r="B39" s="57">
        <v>18</v>
      </c>
      <c r="C39" s="57">
        <v>81</v>
      </c>
      <c r="D39" s="57">
        <v>3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249</v>
      </c>
      <c r="K39" s="57">
        <v>35</v>
      </c>
      <c r="L39" s="65">
        <v>29</v>
      </c>
      <c r="M39" s="58">
        <v>19</v>
      </c>
      <c r="N39" s="57">
        <v>0</v>
      </c>
      <c r="O39" s="57">
        <v>56</v>
      </c>
      <c r="P39" s="57">
        <v>0</v>
      </c>
      <c r="Q39" s="57">
        <v>1</v>
      </c>
      <c r="R39" s="57">
        <v>0</v>
      </c>
      <c r="S39" s="60">
        <f t="shared" si="0"/>
        <v>491</v>
      </c>
      <c r="T39" s="50">
        <f t="shared" si="10"/>
        <v>3.723099939452234E-3</v>
      </c>
      <c r="U39" s="6"/>
    </row>
    <row r="40" spans="1:21">
      <c r="A40" s="14" t="s">
        <v>47</v>
      </c>
      <c r="B40" s="57">
        <v>11816</v>
      </c>
      <c r="C40" s="57">
        <v>13902</v>
      </c>
      <c r="D40" s="57">
        <v>3602</v>
      </c>
      <c r="E40" s="57">
        <v>219</v>
      </c>
      <c r="F40" s="57">
        <v>54443</v>
      </c>
      <c r="G40" s="57">
        <v>70719</v>
      </c>
      <c r="H40" s="57">
        <f>3654+28</f>
        <v>3682</v>
      </c>
      <c r="I40" s="57">
        <v>634</v>
      </c>
      <c r="J40" s="57">
        <v>329361</v>
      </c>
      <c r="K40" s="57">
        <v>1149</v>
      </c>
      <c r="L40" s="57">
        <v>12389</v>
      </c>
      <c r="M40" s="58">
        <v>7838</v>
      </c>
      <c r="N40" s="59">
        <f>2743+64257</f>
        <v>67000</v>
      </c>
      <c r="O40" s="57">
        <v>37764</v>
      </c>
      <c r="P40" s="57">
        <v>6712</v>
      </c>
      <c r="Q40" s="57">
        <v>264</v>
      </c>
      <c r="R40" s="57">
        <v>9025</v>
      </c>
      <c r="S40" s="60">
        <f t="shared" si="0"/>
        <v>630519</v>
      </c>
      <c r="T40" s="50">
        <f t="shared" si="10"/>
        <v>4.7810290238767479</v>
      </c>
      <c r="U40" s="6"/>
    </row>
    <row r="41" spans="1:21">
      <c r="A41" s="14" t="s">
        <v>48</v>
      </c>
      <c r="B41" s="57">
        <v>135</v>
      </c>
      <c r="C41" s="57">
        <v>362</v>
      </c>
      <c r="D41" s="57">
        <v>0</v>
      </c>
      <c r="E41" s="57">
        <v>0</v>
      </c>
      <c r="F41" s="57">
        <v>1469</v>
      </c>
      <c r="G41" s="57">
        <v>648</v>
      </c>
      <c r="H41" s="57">
        <v>142</v>
      </c>
      <c r="I41" s="57">
        <v>0</v>
      </c>
      <c r="J41" s="57">
        <v>56378</v>
      </c>
      <c r="K41" s="57">
        <v>54</v>
      </c>
      <c r="L41" s="75">
        <v>162</v>
      </c>
      <c r="M41" s="69">
        <v>79</v>
      </c>
      <c r="N41" s="57">
        <v>0</v>
      </c>
      <c r="O41" s="57">
        <v>1133</v>
      </c>
      <c r="P41" s="68">
        <v>334</v>
      </c>
      <c r="Q41" s="57">
        <v>2</v>
      </c>
      <c r="R41" s="57">
        <v>127</v>
      </c>
      <c r="S41" s="60">
        <f t="shared" si="0"/>
        <v>61025</v>
      </c>
      <c r="T41" s="50">
        <f t="shared" si="10"/>
        <v>0.46273355153782608</v>
      </c>
      <c r="U41" s="6"/>
    </row>
    <row r="42" spans="1:21">
      <c r="A42" s="14" t="s">
        <v>49</v>
      </c>
      <c r="B42" s="57">
        <v>77</v>
      </c>
      <c r="C42" s="57">
        <v>307</v>
      </c>
      <c r="D42" s="57">
        <v>8</v>
      </c>
      <c r="E42" s="57">
        <v>0</v>
      </c>
      <c r="F42" s="57">
        <v>0</v>
      </c>
      <c r="G42" s="57">
        <v>0</v>
      </c>
      <c r="H42" s="57">
        <v>0</v>
      </c>
      <c r="I42" s="57">
        <v>0</v>
      </c>
      <c r="J42" s="57">
        <v>1359</v>
      </c>
      <c r="K42" s="57">
        <v>79</v>
      </c>
      <c r="L42" s="57">
        <v>62</v>
      </c>
      <c r="M42" s="58">
        <v>30</v>
      </c>
      <c r="N42" s="57">
        <v>1434</v>
      </c>
      <c r="O42" s="57">
        <v>188</v>
      </c>
      <c r="P42" s="57">
        <v>0</v>
      </c>
      <c r="Q42" s="57">
        <v>3</v>
      </c>
      <c r="R42" s="57">
        <v>705</v>
      </c>
      <c r="S42" s="60">
        <f t="shared" si="0"/>
        <v>4252</v>
      </c>
      <c r="T42" s="50">
        <f t="shared" si="10"/>
        <v>3.2241590514360284E-2</v>
      </c>
      <c r="U42" s="6"/>
    </row>
    <row r="43" spans="1:21">
      <c r="A43" s="16" t="s">
        <v>51</v>
      </c>
      <c r="B43" s="62">
        <f t="shared" ref="B43:S43" si="11">SUM(B37:B42)</f>
        <v>16338</v>
      </c>
      <c r="C43" s="62">
        <f t="shared" si="11"/>
        <v>19040</v>
      </c>
      <c r="D43" s="62">
        <f t="shared" si="11"/>
        <v>3832</v>
      </c>
      <c r="E43" s="62">
        <f t="shared" si="11"/>
        <v>315</v>
      </c>
      <c r="F43" s="62">
        <f t="shared" si="11"/>
        <v>70850</v>
      </c>
      <c r="G43" s="62">
        <f t="shared" si="11"/>
        <v>88986</v>
      </c>
      <c r="H43" s="62">
        <f t="shared" si="11"/>
        <v>4928</v>
      </c>
      <c r="I43" s="62">
        <f t="shared" si="11"/>
        <v>793</v>
      </c>
      <c r="J43" s="62">
        <f t="shared" si="11"/>
        <v>447801</v>
      </c>
      <c r="K43" s="62">
        <f t="shared" si="11"/>
        <v>2230</v>
      </c>
      <c r="L43" s="62">
        <f t="shared" si="11"/>
        <v>14496</v>
      </c>
      <c r="M43" s="62">
        <f t="shared" si="11"/>
        <v>8744</v>
      </c>
      <c r="N43" s="62">
        <f t="shared" si="11"/>
        <v>84434</v>
      </c>
      <c r="O43" s="62">
        <f t="shared" si="11"/>
        <v>47186</v>
      </c>
      <c r="P43" s="62">
        <f t="shared" si="11"/>
        <v>8444</v>
      </c>
      <c r="Q43" s="62">
        <f t="shared" si="11"/>
        <v>549</v>
      </c>
      <c r="R43" s="62">
        <f t="shared" si="11"/>
        <v>14811</v>
      </c>
      <c r="S43" s="60">
        <f t="shared" si="11"/>
        <v>833777</v>
      </c>
      <c r="T43" s="51">
        <f t="shared" ref="T43:T66" si="12">S43/S$66*100</f>
        <v>6.3222710757976888</v>
      </c>
      <c r="U43" s="9"/>
    </row>
    <row r="44" spans="1:21">
      <c r="A44" s="14" t="s">
        <v>52</v>
      </c>
      <c r="B44" s="57">
        <v>13140</v>
      </c>
      <c r="C44" s="57">
        <v>29097</v>
      </c>
      <c r="D44" s="57">
        <v>6338</v>
      </c>
      <c r="E44" s="57">
        <v>5078</v>
      </c>
      <c r="F44" s="57">
        <v>55377</v>
      </c>
      <c r="G44" s="57">
        <v>286883</v>
      </c>
      <c r="H44" s="57">
        <v>3584</v>
      </c>
      <c r="I44" s="57">
        <v>2620</v>
      </c>
      <c r="J44" s="57">
        <v>53692</v>
      </c>
      <c r="K44" s="57">
        <v>3792</v>
      </c>
      <c r="L44" s="57">
        <f>15284+86</f>
        <v>15370</v>
      </c>
      <c r="M44" s="58">
        <v>13525</v>
      </c>
      <c r="N44" s="57">
        <v>145254</v>
      </c>
      <c r="O44" s="57">
        <v>39058</v>
      </c>
      <c r="P44" s="57">
        <v>14021</v>
      </c>
      <c r="Q44" s="57">
        <v>7678</v>
      </c>
      <c r="R44" s="57">
        <v>22884</v>
      </c>
      <c r="S44" s="60">
        <f t="shared" ref="S44:S66" si="13">SUM(B44:R44)</f>
        <v>717391</v>
      </c>
      <c r="T44" s="50">
        <f t="shared" si="12"/>
        <v>5.4397523190704238</v>
      </c>
      <c r="U44" s="6"/>
    </row>
    <row r="45" spans="1:21">
      <c r="A45" s="14" t="s">
        <v>53</v>
      </c>
      <c r="B45" s="57">
        <v>1578</v>
      </c>
      <c r="C45" s="57">
        <v>1352</v>
      </c>
      <c r="D45" s="57">
        <v>364</v>
      </c>
      <c r="E45" s="57">
        <v>0</v>
      </c>
      <c r="F45" s="57">
        <v>8107</v>
      </c>
      <c r="G45" s="57">
        <v>37808</v>
      </c>
      <c r="H45" s="57">
        <v>739</v>
      </c>
      <c r="I45" s="57">
        <v>0</v>
      </c>
      <c r="J45" s="57">
        <v>24130</v>
      </c>
      <c r="K45" s="57">
        <v>141</v>
      </c>
      <c r="L45" s="57">
        <v>1508</v>
      </c>
      <c r="M45" s="58">
        <v>2597</v>
      </c>
      <c r="N45" s="57">
        <v>8455</v>
      </c>
      <c r="O45" s="57">
        <v>4976</v>
      </c>
      <c r="P45" s="57">
        <v>244</v>
      </c>
      <c r="Q45" s="57">
        <v>119</v>
      </c>
      <c r="R45" s="57">
        <v>3409</v>
      </c>
      <c r="S45" s="60">
        <f t="shared" si="13"/>
        <v>95527</v>
      </c>
      <c r="T45" s="50">
        <f t="shared" si="12"/>
        <v>0.72435146215082191</v>
      </c>
      <c r="U45" s="6"/>
    </row>
    <row r="46" spans="1:21">
      <c r="A46" s="16" t="s">
        <v>54</v>
      </c>
      <c r="B46" s="62">
        <f t="shared" ref="B46:K46" si="14">+B45+B44</f>
        <v>14718</v>
      </c>
      <c r="C46" s="62">
        <f t="shared" si="14"/>
        <v>30449</v>
      </c>
      <c r="D46" s="62">
        <f t="shared" si="14"/>
        <v>6702</v>
      </c>
      <c r="E46" s="62">
        <f t="shared" si="14"/>
        <v>5078</v>
      </c>
      <c r="F46" s="62">
        <f t="shared" si="14"/>
        <v>63484</v>
      </c>
      <c r="G46" s="62">
        <f t="shared" si="14"/>
        <v>324691</v>
      </c>
      <c r="H46" s="62">
        <f t="shared" si="14"/>
        <v>4323</v>
      </c>
      <c r="I46" s="62">
        <f t="shared" si="14"/>
        <v>2620</v>
      </c>
      <c r="J46" s="62">
        <f t="shared" si="14"/>
        <v>77822</v>
      </c>
      <c r="K46" s="62">
        <f t="shared" si="14"/>
        <v>3933</v>
      </c>
      <c r="L46" s="62">
        <f t="shared" ref="L46:R46" si="15">+L45+L44</f>
        <v>16878</v>
      </c>
      <c r="M46" s="62">
        <f t="shared" si="15"/>
        <v>16122</v>
      </c>
      <c r="N46" s="62">
        <f t="shared" si="15"/>
        <v>153709</v>
      </c>
      <c r="O46" s="62">
        <f t="shared" si="15"/>
        <v>44034</v>
      </c>
      <c r="P46" s="62">
        <f t="shared" si="15"/>
        <v>14265</v>
      </c>
      <c r="Q46" s="62">
        <f t="shared" si="15"/>
        <v>7797</v>
      </c>
      <c r="R46" s="62">
        <f t="shared" si="15"/>
        <v>26293</v>
      </c>
      <c r="S46" s="60">
        <f t="shared" si="13"/>
        <v>812918</v>
      </c>
      <c r="T46" s="51">
        <f t="shared" si="12"/>
        <v>6.1641037812212449</v>
      </c>
      <c r="U46" s="9"/>
    </row>
    <row r="47" spans="1:21">
      <c r="A47" s="14" t="s">
        <v>55</v>
      </c>
      <c r="B47" s="57">
        <v>16582</v>
      </c>
      <c r="C47" s="57">
        <v>37238</v>
      </c>
      <c r="D47" s="57">
        <v>5235</v>
      </c>
      <c r="E47" s="57">
        <v>4825</v>
      </c>
      <c r="F47" s="57">
        <v>53558</v>
      </c>
      <c r="G47" s="57">
        <v>248565</v>
      </c>
      <c r="H47" s="57">
        <v>2999</v>
      </c>
      <c r="I47" s="57">
        <v>4826</v>
      </c>
      <c r="J47" s="57">
        <v>49777</v>
      </c>
      <c r="K47" s="57">
        <v>5465</v>
      </c>
      <c r="L47" s="57">
        <v>19706</v>
      </c>
      <c r="M47" s="58">
        <v>12889</v>
      </c>
      <c r="N47" s="57">
        <v>167391</v>
      </c>
      <c r="O47" s="57">
        <v>35927</v>
      </c>
      <c r="P47" s="57">
        <v>19684</v>
      </c>
      <c r="Q47" s="57">
        <v>9567</v>
      </c>
      <c r="R47" s="65">
        <f>24039+64</f>
        <v>24103</v>
      </c>
      <c r="S47" s="60">
        <f t="shared" si="13"/>
        <v>718337</v>
      </c>
      <c r="T47" s="50">
        <f t="shared" si="12"/>
        <v>5.4469255421716891</v>
      </c>
      <c r="U47" s="6"/>
    </row>
    <row r="48" spans="1:21">
      <c r="A48" s="14" t="s">
        <v>56</v>
      </c>
      <c r="B48" s="57">
        <v>2519</v>
      </c>
      <c r="C48" s="57">
        <v>5910</v>
      </c>
      <c r="D48" s="57">
        <v>617</v>
      </c>
      <c r="E48" s="57">
        <v>189</v>
      </c>
      <c r="F48" s="57">
        <v>22512</v>
      </c>
      <c r="G48" s="57">
        <v>39714</v>
      </c>
      <c r="H48" s="57">
        <v>1294</v>
      </c>
      <c r="I48" s="57">
        <v>662</v>
      </c>
      <c r="J48" s="57">
        <v>22017</v>
      </c>
      <c r="K48" s="57">
        <v>847</v>
      </c>
      <c r="L48" s="57">
        <v>4880</v>
      </c>
      <c r="M48" s="58">
        <v>2101</v>
      </c>
      <c r="N48" s="57">
        <v>63581</v>
      </c>
      <c r="O48" s="57">
        <v>9578</v>
      </c>
      <c r="P48" s="57">
        <v>2795</v>
      </c>
      <c r="Q48" s="57">
        <v>841</v>
      </c>
      <c r="R48" s="65">
        <v>4861</v>
      </c>
      <c r="S48" s="60">
        <f t="shared" si="13"/>
        <v>184918</v>
      </c>
      <c r="T48" s="50">
        <f t="shared" si="12"/>
        <v>1.4021755490908925</v>
      </c>
      <c r="U48" s="6"/>
    </row>
    <row r="49" spans="1:21">
      <c r="A49" s="14" t="s">
        <v>78</v>
      </c>
      <c r="B49" s="57">
        <v>0</v>
      </c>
      <c r="C49" s="57">
        <v>0</v>
      </c>
      <c r="D49" s="57">
        <v>0</v>
      </c>
      <c r="E49" s="57">
        <v>0</v>
      </c>
      <c r="F49" s="57">
        <v>7</v>
      </c>
      <c r="G49" s="57">
        <v>0</v>
      </c>
      <c r="H49" s="57">
        <v>0</v>
      </c>
      <c r="I49" s="57">
        <v>0</v>
      </c>
      <c r="J49" s="57">
        <v>29</v>
      </c>
      <c r="K49" s="57">
        <v>4</v>
      </c>
      <c r="L49" s="57">
        <v>7</v>
      </c>
      <c r="M49" s="58">
        <v>0</v>
      </c>
      <c r="N49" s="57">
        <v>0</v>
      </c>
      <c r="O49" s="57">
        <v>1</v>
      </c>
      <c r="P49" s="57">
        <v>0</v>
      </c>
      <c r="Q49" s="57">
        <v>0</v>
      </c>
      <c r="R49" s="65">
        <v>0</v>
      </c>
      <c r="S49" s="60">
        <f t="shared" si="13"/>
        <v>48</v>
      </c>
      <c r="T49" s="50">
        <f t="shared" si="12"/>
        <v>3.6396903685072756E-4</v>
      </c>
      <c r="U49" s="6"/>
    </row>
    <row r="50" spans="1:21">
      <c r="A50" s="16" t="s">
        <v>57</v>
      </c>
      <c r="B50" s="62">
        <f t="shared" ref="B50:R50" si="16">+B48+B47</f>
        <v>19101</v>
      </c>
      <c r="C50" s="62">
        <f t="shared" si="16"/>
        <v>43148</v>
      </c>
      <c r="D50" s="62">
        <f t="shared" si="16"/>
        <v>5852</v>
      </c>
      <c r="E50" s="62">
        <f t="shared" si="16"/>
        <v>5014</v>
      </c>
      <c r="F50" s="62">
        <f t="shared" si="16"/>
        <v>76070</v>
      </c>
      <c r="G50" s="62">
        <f t="shared" si="16"/>
        <v>288279</v>
      </c>
      <c r="H50" s="62">
        <f t="shared" si="16"/>
        <v>4293</v>
      </c>
      <c r="I50" s="62">
        <f t="shared" si="16"/>
        <v>5488</v>
      </c>
      <c r="J50" s="62">
        <f>+J48+J47+J49</f>
        <v>71823</v>
      </c>
      <c r="K50" s="62">
        <f t="shared" si="16"/>
        <v>6312</v>
      </c>
      <c r="L50" s="62">
        <f t="shared" si="16"/>
        <v>24586</v>
      </c>
      <c r="M50" s="62">
        <f t="shared" si="16"/>
        <v>14990</v>
      </c>
      <c r="N50" s="62">
        <f t="shared" si="16"/>
        <v>230972</v>
      </c>
      <c r="O50" s="62">
        <f t="shared" si="16"/>
        <v>45505</v>
      </c>
      <c r="P50" s="62">
        <f t="shared" si="16"/>
        <v>22479</v>
      </c>
      <c r="Q50" s="62">
        <f t="shared" si="16"/>
        <v>10408</v>
      </c>
      <c r="R50" s="62">
        <f t="shared" si="16"/>
        <v>28964</v>
      </c>
      <c r="S50" s="60">
        <f t="shared" si="13"/>
        <v>903284</v>
      </c>
      <c r="T50" s="51">
        <f t="shared" si="12"/>
        <v>6.8493209892223463</v>
      </c>
      <c r="U50" s="6"/>
    </row>
    <row r="51" spans="1:21">
      <c r="A51" s="14" t="s">
        <v>58</v>
      </c>
      <c r="B51" s="57">
        <v>20969</v>
      </c>
      <c r="C51" s="57">
        <v>20102</v>
      </c>
      <c r="D51" s="57">
        <v>9517</v>
      </c>
      <c r="E51" s="57">
        <v>2660</v>
      </c>
      <c r="F51" s="57">
        <v>23968</v>
      </c>
      <c r="G51" s="57">
        <v>108434</v>
      </c>
      <c r="H51" s="57">
        <v>3070</v>
      </c>
      <c r="I51" s="57">
        <v>11483</v>
      </c>
      <c r="J51" s="57">
        <v>47372</v>
      </c>
      <c r="K51" s="57">
        <v>1383</v>
      </c>
      <c r="L51" s="57">
        <v>11359</v>
      </c>
      <c r="M51" s="58">
        <v>1568</v>
      </c>
      <c r="N51" s="57">
        <v>88117</v>
      </c>
      <c r="O51" s="57">
        <v>44154</v>
      </c>
      <c r="P51" s="57">
        <v>9087</v>
      </c>
      <c r="Q51" s="57">
        <v>2472</v>
      </c>
      <c r="R51" s="57">
        <v>9937</v>
      </c>
      <c r="S51" s="60">
        <f t="shared" si="13"/>
        <v>415652</v>
      </c>
      <c r="T51" s="50">
        <f t="shared" si="12"/>
        <v>3.1517595438558046</v>
      </c>
      <c r="U51" s="6"/>
    </row>
    <row r="52" spans="1:21">
      <c r="A52" s="14" t="s">
        <v>59</v>
      </c>
      <c r="B52" s="57">
        <v>8267</v>
      </c>
      <c r="C52" s="57">
        <v>11372</v>
      </c>
      <c r="D52" s="57">
        <v>11058</v>
      </c>
      <c r="E52" s="57">
        <v>6500</v>
      </c>
      <c r="F52" s="57">
        <v>29146</v>
      </c>
      <c r="G52" s="57">
        <v>55689</v>
      </c>
      <c r="H52" s="57">
        <v>1402</v>
      </c>
      <c r="I52" s="57">
        <v>5481</v>
      </c>
      <c r="J52" s="57">
        <v>39073</v>
      </c>
      <c r="K52" s="57">
        <v>467</v>
      </c>
      <c r="L52" s="57">
        <v>18311</v>
      </c>
      <c r="M52" s="58">
        <v>3527</v>
      </c>
      <c r="N52" s="57">
        <v>78489</v>
      </c>
      <c r="O52" s="57">
        <v>45028</v>
      </c>
      <c r="P52" s="57">
        <v>18157</v>
      </c>
      <c r="Q52" s="57">
        <v>4635</v>
      </c>
      <c r="R52" s="57">
        <v>5039</v>
      </c>
      <c r="S52" s="60">
        <f t="shared" si="13"/>
        <v>341641</v>
      </c>
      <c r="T52" s="50">
        <f t="shared" si="12"/>
        <v>2.5905572024733212</v>
      </c>
      <c r="U52" s="6"/>
    </row>
    <row r="53" spans="1:21">
      <c r="A53" s="14" t="s">
        <v>60</v>
      </c>
      <c r="B53" s="57">
        <v>61</v>
      </c>
      <c r="C53" s="57">
        <v>1053</v>
      </c>
      <c r="D53" s="57">
        <v>0</v>
      </c>
      <c r="E53" s="57">
        <v>92</v>
      </c>
      <c r="F53" s="57">
        <v>0</v>
      </c>
      <c r="G53" s="57">
        <v>2476</v>
      </c>
      <c r="H53" s="57">
        <v>22</v>
      </c>
      <c r="I53" s="57">
        <v>107</v>
      </c>
      <c r="J53" s="57">
        <v>1764</v>
      </c>
      <c r="K53" s="57">
        <v>129</v>
      </c>
      <c r="L53" s="57">
        <v>25</v>
      </c>
      <c r="M53" s="58">
        <v>0</v>
      </c>
      <c r="N53" s="57">
        <v>3344</v>
      </c>
      <c r="O53" s="57">
        <v>3402</v>
      </c>
      <c r="P53" s="57">
        <v>0</v>
      </c>
      <c r="Q53" s="57">
        <v>5</v>
      </c>
      <c r="R53" s="57">
        <v>806</v>
      </c>
      <c r="S53" s="60">
        <f t="shared" si="13"/>
        <v>13286</v>
      </c>
      <c r="T53" s="50">
        <f t="shared" si="12"/>
        <v>0.10074359632497432</v>
      </c>
      <c r="U53" s="6"/>
    </row>
    <row r="54" spans="1:21">
      <c r="A54" s="16" t="s">
        <v>61</v>
      </c>
      <c r="B54" s="62">
        <f t="shared" ref="B54:R54" si="17">SUM(B51:B53)</f>
        <v>29297</v>
      </c>
      <c r="C54" s="62">
        <f t="shared" si="17"/>
        <v>32527</v>
      </c>
      <c r="D54" s="62">
        <f t="shared" si="17"/>
        <v>20575</v>
      </c>
      <c r="E54" s="62">
        <f t="shared" si="17"/>
        <v>9252</v>
      </c>
      <c r="F54" s="62">
        <f t="shared" si="17"/>
        <v>53114</v>
      </c>
      <c r="G54" s="62">
        <f t="shared" si="17"/>
        <v>166599</v>
      </c>
      <c r="H54" s="62">
        <f t="shared" si="17"/>
        <v>4494</v>
      </c>
      <c r="I54" s="62">
        <f t="shared" si="17"/>
        <v>17071</v>
      </c>
      <c r="J54" s="62">
        <f t="shared" si="17"/>
        <v>88209</v>
      </c>
      <c r="K54" s="62">
        <f t="shared" si="17"/>
        <v>1979</v>
      </c>
      <c r="L54" s="62">
        <f t="shared" si="17"/>
        <v>29695</v>
      </c>
      <c r="M54" s="62">
        <f t="shared" si="17"/>
        <v>5095</v>
      </c>
      <c r="N54" s="62">
        <f t="shared" si="17"/>
        <v>169950</v>
      </c>
      <c r="O54" s="62">
        <f t="shared" si="17"/>
        <v>92584</v>
      </c>
      <c r="P54" s="62">
        <f t="shared" si="17"/>
        <v>27244</v>
      </c>
      <c r="Q54" s="62">
        <f t="shared" si="17"/>
        <v>7112</v>
      </c>
      <c r="R54" s="62">
        <f t="shared" si="17"/>
        <v>15782</v>
      </c>
      <c r="S54" s="60">
        <f t="shared" si="13"/>
        <v>770579</v>
      </c>
      <c r="T54" s="51">
        <f t="shared" si="12"/>
        <v>5.8430603426541001</v>
      </c>
      <c r="U54" s="9"/>
    </row>
    <row r="55" spans="1:21">
      <c r="A55" s="20" t="s">
        <v>62</v>
      </c>
      <c r="B55" s="57">
        <v>375</v>
      </c>
      <c r="C55" s="57">
        <v>1403</v>
      </c>
      <c r="D55" s="57">
        <v>137</v>
      </c>
      <c r="E55" s="57">
        <v>115</v>
      </c>
      <c r="F55" s="57">
        <v>0</v>
      </c>
      <c r="G55" s="57">
        <v>4987</v>
      </c>
      <c r="H55" s="57">
        <v>6</v>
      </c>
      <c r="I55" s="57">
        <v>268</v>
      </c>
      <c r="J55" s="57">
        <v>1652</v>
      </c>
      <c r="K55" s="57">
        <v>48</v>
      </c>
      <c r="L55" s="57">
        <v>908</v>
      </c>
      <c r="M55" s="58">
        <v>310</v>
      </c>
      <c r="N55" s="57">
        <v>23954</v>
      </c>
      <c r="O55" s="57">
        <v>1732</v>
      </c>
      <c r="P55" s="57">
        <v>234</v>
      </c>
      <c r="Q55" s="57">
        <v>115</v>
      </c>
      <c r="R55" s="57">
        <v>980</v>
      </c>
      <c r="S55" s="60">
        <f t="shared" si="13"/>
        <v>37224</v>
      </c>
      <c r="T55" s="52">
        <f t="shared" si="12"/>
        <v>0.28225798807773922</v>
      </c>
      <c r="U55" s="21"/>
    </row>
    <row r="56" spans="1:21">
      <c r="A56" s="14" t="s">
        <v>63</v>
      </c>
      <c r="B56" s="57">
        <v>1745</v>
      </c>
      <c r="C56" s="57">
        <v>4994</v>
      </c>
      <c r="D56" s="57">
        <v>66</v>
      </c>
      <c r="E56" s="57">
        <v>218</v>
      </c>
      <c r="F56" s="57">
        <v>0</v>
      </c>
      <c r="G56" s="57">
        <v>18216</v>
      </c>
      <c r="H56" s="57">
        <v>36</v>
      </c>
      <c r="I56" s="57">
        <v>772</v>
      </c>
      <c r="J56" s="57">
        <v>15864</v>
      </c>
      <c r="K56" s="57">
        <f>799+1</f>
        <v>800</v>
      </c>
      <c r="L56" s="57">
        <v>1557</v>
      </c>
      <c r="M56" s="58">
        <v>752</v>
      </c>
      <c r="N56" s="57">
        <v>66574</v>
      </c>
      <c r="O56" s="57">
        <v>9215</v>
      </c>
      <c r="P56" s="57">
        <v>985</v>
      </c>
      <c r="Q56" s="57">
        <v>602</v>
      </c>
      <c r="R56" s="57">
        <v>3808</v>
      </c>
      <c r="S56" s="60">
        <f t="shared" si="13"/>
        <v>126204</v>
      </c>
      <c r="T56" s="50">
        <f t="shared" si="12"/>
        <v>0.95696559013977545</v>
      </c>
      <c r="U56" s="23"/>
    </row>
    <row r="57" spans="1:21">
      <c r="A57" s="16" t="s">
        <v>64</v>
      </c>
      <c r="B57" s="62">
        <f>+B56+B55</f>
        <v>2120</v>
      </c>
      <c r="C57" s="62">
        <f>SUM(C55:C56)</f>
        <v>6397</v>
      </c>
      <c r="D57" s="62">
        <f>+D56+D55</f>
        <v>203</v>
      </c>
      <c r="E57" s="62">
        <f>SUM(E55:E56)</f>
        <v>333</v>
      </c>
      <c r="F57" s="62">
        <f>SUM(F55:F56)</f>
        <v>0</v>
      </c>
      <c r="G57" s="62">
        <f>+G56+G55</f>
        <v>23203</v>
      </c>
      <c r="H57" s="62">
        <f t="shared" ref="H57:N57" si="18">SUM(H55:H56)</f>
        <v>42</v>
      </c>
      <c r="I57" s="62">
        <f t="shared" si="18"/>
        <v>1040</v>
      </c>
      <c r="J57" s="62">
        <f t="shared" si="18"/>
        <v>17516</v>
      </c>
      <c r="K57" s="62">
        <f t="shared" si="18"/>
        <v>848</v>
      </c>
      <c r="L57" s="62">
        <f t="shared" si="18"/>
        <v>2465</v>
      </c>
      <c r="M57" s="62">
        <f t="shared" si="18"/>
        <v>1062</v>
      </c>
      <c r="N57" s="62">
        <f t="shared" si="18"/>
        <v>90528</v>
      </c>
      <c r="O57" s="62">
        <f>+O56+O55</f>
        <v>10947</v>
      </c>
      <c r="P57" s="62">
        <f>+P56+P55</f>
        <v>1219</v>
      </c>
      <c r="Q57" s="62">
        <f>+Q56+Q55</f>
        <v>717</v>
      </c>
      <c r="R57" s="62">
        <f>SUM(R55:R56)</f>
        <v>4788</v>
      </c>
      <c r="S57" s="60">
        <f t="shared" si="13"/>
        <v>163428</v>
      </c>
      <c r="T57" s="51">
        <f t="shared" si="12"/>
        <v>1.2392235782175147</v>
      </c>
      <c r="U57" s="9"/>
    </row>
    <row r="58" spans="1:21">
      <c r="A58" s="14" t="s">
        <v>66</v>
      </c>
      <c r="B58" s="57">
        <v>9</v>
      </c>
      <c r="C58" s="57">
        <v>31</v>
      </c>
      <c r="D58" s="57">
        <v>2</v>
      </c>
      <c r="E58" s="57">
        <v>0</v>
      </c>
      <c r="F58" s="57">
        <v>0</v>
      </c>
      <c r="G58" s="57">
        <v>0</v>
      </c>
      <c r="H58" s="57">
        <v>0</v>
      </c>
      <c r="I58" s="57">
        <v>0</v>
      </c>
      <c r="J58" s="57">
        <v>33</v>
      </c>
      <c r="K58" s="57">
        <v>28</v>
      </c>
      <c r="L58" s="57">
        <v>11</v>
      </c>
      <c r="M58" s="58">
        <v>6</v>
      </c>
      <c r="N58" s="57">
        <v>949</v>
      </c>
      <c r="O58" s="57">
        <v>12</v>
      </c>
      <c r="P58" s="57">
        <v>0</v>
      </c>
      <c r="Q58" s="57">
        <v>4</v>
      </c>
      <c r="R58" s="57">
        <v>127</v>
      </c>
      <c r="S58" s="60">
        <f t="shared" ref="S58:S64" si="19">SUM(B58:R58)</f>
        <v>1212</v>
      </c>
      <c r="T58" s="50">
        <f t="shared" ref="T58:T64" si="20">S58/S$66*100</f>
        <v>9.1902181804808716E-3</v>
      </c>
      <c r="U58" s="6"/>
    </row>
    <row r="59" spans="1:21">
      <c r="A59" s="14" t="s">
        <v>67</v>
      </c>
      <c r="B59" s="57">
        <v>0</v>
      </c>
      <c r="C59" s="57">
        <v>0</v>
      </c>
      <c r="D59" s="57">
        <v>0</v>
      </c>
      <c r="E59" s="57">
        <v>0</v>
      </c>
      <c r="F59" s="57">
        <v>0</v>
      </c>
      <c r="G59" s="57">
        <v>0</v>
      </c>
      <c r="H59" s="57">
        <v>0</v>
      </c>
      <c r="I59" s="57">
        <v>0</v>
      </c>
      <c r="J59" s="57">
        <v>10</v>
      </c>
      <c r="K59" s="57">
        <v>0</v>
      </c>
      <c r="L59" s="57">
        <v>0</v>
      </c>
      <c r="M59" s="58">
        <v>0</v>
      </c>
      <c r="N59" s="57">
        <v>0</v>
      </c>
      <c r="O59" s="57">
        <v>0</v>
      </c>
      <c r="P59" s="57">
        <v>0</v>
      </c>
      <c r="Q59" s="57">
        <v>0</v>
      </c>
      <c r="R59" s="57">
        <v>0</v>
      </c>
      <c r="S59" s="60">
        <f t="shared" si="19"/>
        <v>10</v>
      </c>
      <c r="T59" s="50">
        <f t="shared" si="20"/>
        <v>7.5826882677234908E-5</v>
      </c>
      <c r="U59" s="6"/>
    </row>
    <row r="60" spans="1:21">
      <c r="A60" s="24" t="s">
        <v>65</v>
      </c>
      <c r="B60" s="57">
        <v>78</v>
      </c>
      <c r="C60" s="57">
        <v>0</v>
      </c>
      <c r="D60" s="57">
        <v>0</v>
      </c>
      <c r="E60" s="57">
        <v>0</v>
      </c>
      <c r="F60" s="57">
        <v>0</v>
      </c>
      <c r="G60" s="57">
        <v>0</v>
      </c>
      <c r="H60" s="57">
        <v>0</v>
      </c>
      <c r="I60" s="57">
        <v>0</v>
      </c>
      <c r="J60" s="57">
        <v>12</v>
      </c>
      <c r="K60" s="57">
        <v>16</v>
      </c>
      <c r="L60" s="57">
        <v>0</v>
      </c>
      <c r="M60" s="58">
        <v>0</v>
      </c>
      <c r="N60" s="57">
        <v>0</v>
      </c>
      <c r="O60" s="57">
        <v>5</v>
      </c>
      <c r="P60" s="57">
        <v>0</v>
      </c>
      <c r="Q60" s="57">
        <v>0</v>
      </c>
      <c r="R60" s="57">
        <v>0</v>
      </c>
      <c r="S60" s="60">
        <f t="shared" si="19"/>
        <v>111</v>
      </c>
      <c r="T60" s="50">
        <f t="shared" si="20"/>
        <v>8.4167839771730755E-4</v>
      </c>
      <c r="U60" s="6"/>
    </row>
    <row r="61" spans="1:21">
      <c r="A61" s="14" t="s">
        <v>68</v>
      </c>
      <c r="B61" s="57">
        <v>4</v>
      </c>
      <c r="C61" s="57">
        <v>43</v>
      </c>
      <c r="D61" s="57">
        <v>0</v>
      </c>
      <c r="E61" s="57">
        <v>0</v>
      </c>
      <c r="F61" s="57">
        <v>0</v>
      </c>
      <c r="G61" s="57">
        <v>0</v>
      </c>
      <c r="H61" s="57">
        <v>0</v>
      </c>
      <c r="I61" s="57">
        <v>0</v>
      </c>
      <c r="J61" s="57">
        <v>56</v>
      </c>
      <c r="K61" s="57">
        <v>13</v>
      </c>
      <c r="L61" s="57">
        <v>4</v>
      </c>
      <c r="M61" s="58">
        <v>2</v>
      </c>
      <c r="N61" s="57">
        <v>375</v>
      </c>
      <c r="O61" s="57">
        <v>3</v>
      </c>
      <c r="P61" s="57">
        <v>0</v>
      </c>
      <c r="Q61" s="57">
        <v>1</v>
      </c>
      <c r="R61" s="57">
        <v>0</v>
      </c>
      <c r="S61" s="60">
        <f t="shared" si="19"/>
        <v>501</v>
      </c>
      <c r="T61" s="50">
        <f t="shared" si="20"/>
        <v>3.7989268221294693E-3</v>
      </c>
      <c r="U61" s="6"/>
    </row>
    <row r="62" spans="1:21">
      <c r="A62" s="14" t="s">
        <v>70</v>
      </c>
      <c r="B62" s="57">
        <v>0</v>
      </c>
      <c r="C62" s="57">
        <v>0</v>
      </c>
      <c r="D62" s="57">
        <v>0</v>
      </c>
      <c r="E62" s="57">
        <v>0</v>
      </c>
      <c r="F62" s="57">
        <v>0</v>
      </c>
      <c r="G62" s="57">
        <v>0</v>
      </c>
      <c r="H62" s="57">
        <v>0</v>
      </c>
      <c r="I62" s="57">
        <v>0</v>
      </c>
      <c r="J62" s="57">
        <v>0</v>
      </c>
      <c r="K62" s="57">
        <v>0</v>
      </c>
      <c r="L62" s="57">
        <v>0</v>
      </c>
      <c r="M62" s="58">
        <v>0</v>
      </c>
      <c r="N62" s="57">
        <v>0</v>
      </c>
      <c r="O62" s="57">
        <v>0</v>
      </c>
      <c r="P62" s="57">
        <v>0</v>
      </c>
      <c r="Q62" s="57">
        <v>0</v>
      </c>
      <c r="R62" s="57">
        <v>0</v>
      </c>
      <c r="S62" s="60">
        <f t="shared" si="19"/>
        <v>0</v>
      </c>
      <c r="T62" s="50">
        <f t="shared" si="20"/>
        <v>0</v>
      </c>
      <c r="U62" s="6"/>
    </row>
    <row r="63" spans="1:21">
      <c r="A63" s="14" t="s">
        <v>71</v>
      </c>
      <c r="B63" s="57">
        <v>0</v>
      </c>
      <c r="C63" s="57">
        <v>0</v>
      </c>
      <c r="D63" s="57">
        <v>0</v>
      </c>
      <c r="E63" s="57">
        <v>0</v>
      </c>
      <c r="F63" s="57">
        <v>0</v>
      </c>
      <c r="G63" s="57">
        <v>0</v>
      </c>
      <c r="H63" s="57">
        <v>0</v>
      </c>
      <c r="I63" s="57">
        <v>0</v>
      </c>
      <c r="J63" s="57">
        <v>232</v>
      </c>
      <c r="K63" s="57">
        <v>0</v>
      </c>
      <c r="L63" s="57">
        <v>0</v>
      </c>
      <c r="M63" s="58">
        <v>0</v>
      </c>
      <c r="N63" s="57">
        <v>0</v>
      </c>
      <c r="O63" s="57">
        <v>52</v>
      </c>
      <c r="P63" s="57">
        <v>0</v>
      </c>
      <c r="Q63" s="57">
        <v>0</v>
      </c>
      <c r="R63" s="57">
        <v>0</v>
      </c>
      <c r="S63" s="60">
        <f t="shared" si="19"/>
        <v>284</v>
      </c>
      <c r="T63" s="50">
        <f t="shared" si="20"/>
        <v>2.1534834680334712E-3</v>
      </c>
      <c r="U63" s="6"/>
    </row>
    <row r="64" spans="1:21">
      <c r="A64" s="14" t="s">
        <v>76</v>
      </c>
      <c r="B64" s="57">
        <v>492</v>
      </c>
      <c r="C64" s="57">
        <v>820</v>
      </c>
      <c r="D64" s="57">
        <v>2738</v>
      </c>
      <c r="E64" s="57">
        <v>146</v>
      </c>
      <c r="F64" s="57">
        <v>0</v>
      </c>
      <c r="G64" s="57">
        <v>0</v>
      </c>
      <c r="H64" s="57">
        <v>0</v>
      </c>
      <c r="I64" s="57">
        <v>0</v>
      </c>
      <c r="J64" s="57">
        <v>134</v>
      </c>
      <c r="K64" s="57">
        <v>31</v>
      </c>
      <c r="L64" s="57">
        <v>1805</v>
      </c>
      <c r="M64" s="58">
        <v>0</v>
      </c>
      <c r="N64" s="57">
        <v>0</v>
      </c>
      <c r="O64" s="57">
        <v>10</v>
      </c>
      <c r="P64" s="57">
        <v>0</v>
      </c>
      <c r="Q64" s="57">
        <v>4039</v>
      </c>
      <c r="R64" s="57">
        <v>0</v>
      </c>
      <c r="S64" s="60">
        <f t="shared" si="19"/>
        <v>10215</v>
      </c>
      <c r="T64" s="50">
        <f t="shared" si="20"/>
        <v>7.7457160654795465E-2</v>
      </c>
      <c r="U64" s="6"/>
    </row>
    <row r="65" spans="1:21">
      <c r="A65" s="14" t="s">
        <v>72</v>
      </c>
      <c r="B65" s="57">
        <v>402</v>
      </c>
      <c r="C65" s="57">
        <v>81</v>
      </c>
      <c r="D65" s="57">
        <v>313</v>
      </c>
      <c r="E65" s="57">
        <v>1172</v>
      </c>
      <c r="F65" s="57">
        <v>71835</v>
      </c>
      <c r="G65" s="57">
        <v>14480</v>
      </c>
      <c r="H65" s="57">
        <v>1</v>
      </c>
      <c r="I65" s="57">
        <v>149</v>
      </c>
      <c r="J65" s="57">
        <v>940</v>
      </c>
      <c r="K65" s="57">
        <v>135</v>
      </c>
      <c r="L65" s="57">
        <v>1263</v>
      </c>
      <c r="M65" s="58">
        <v>7</v>
      </c>
      <c r="N65" s="57">
        <v>6387</v>
      </c>
      <c r="O65" s="57">
        <v>93</v>
      </c>
      <c r="P65" s="57">
        <v>1465</v>
      </c>
      <c r="Q65" s="57">
        <v>36</v>
      </c>
      <c r="R65" s="57">
        <v>2778</v>
      </c>
      <c r="S65" s="60">
        <f t="shared" si="13"/>
        <v>101537</v>
      </c>
      <c r="T65" s="50">
        <f t="shared" si="12"/>
        <v>0.76992341863984015</v>
      </c>
      <c r="U65" s="6"/>
    </row>
    <row r="66" spans="1:21">
      <c r="A66" s="46" t="s">
        <v>14</v>
      </c>
      <c r="B66" s="70">
        <f>+B65+B63+B62+B61+B60+B59+B58+B57+B54+B50+B46+B43+B36+B26+B23+B16+B18+B15+B12+B17+B64</f>
        <v>308555</v>
      </c>
      <c r="C66" s="70">
        <f>+C65+C63+C62+C61+C60+C59+C58+C57+C54+C50+C46+C43+C36+C26+C23+C16+C18+C15+C12+C17+C64</f>
        <v>501066</v>
      </c>
      <c r="D66" s="70">
        <f>+D65+D63+D62+D61+D60+D59+D58+D57+D54+D50+D46+D43+D36+D26+D23+D16+D18+D15+D12+D17+D64</f>
        <v>207721</v>
      </c>
      <c r="E66" s="70">
        <f>+E65+E63+E62+E61+E60+E59+E58+E57+E54+E50+E46+E43+E36+E26+E23+E16+E18+E15+E12+E17+E64</f>
        <v>108812</v>
      </c>
      <c r="F66" s="70">
        <f>SUM(F12,F15,F16,F17,F18,F23,F26,F36,F43,F46,F50,F54,F57,F58:F65)</f>
        <v>1917230</v>
      </c>
      <c r="G66" s="70">
        <f t="shared" ref="G66:M66" si="21">+G65+G63+G62+G61+G60+G59+G58+G57+G54+G50+G46+G43+G36+G26+G23+G16+G18+G15+G12+G17+G64</f>
        <v>3206042</v>
      </c>
      <c r="H66" s="70">
        <f t="shared" si="21"/>
        <v>75805</v>
      </c>
      <c r="I66" s="70">
        <f t="shared" si="21"/>
        <v>124945</v>
      </c>
      <c r="J66" s="70">
        <f t="shared" si="21"/>
        <v>1575954</v>
      </c>
      <c r="K66" s="70">
        <f t="shared" si="21"/>
        <v>46647</v>
      </c>
      <c r="L66" s="70">
        <f t="shared" si="21"/>
        <v>449343</v>
      </c>
      <c r="M66" s="70">
        <f t="shared" si="21"/>
        <v>178503</v>
      </c>
      <c r="N66" s="70">
        <f>SUM(N12,N15,N16,N17,N18,N23,N26,N36,N43,N46,N50,N54,N57,N58:N65)</f>
        <v>2633503</v>
      </c>
      <c r="O66" s="70">
        <f>+O65+O63+O62+O61+O60+O59+O58+O57+O54+O50+O46+O43+O36+O26+O23+O16+O18+O15+O12+O17+O64</f>
        <v>1034232</v>
      </c>
      <c r="P66" s="70">
        <f>+P65+P63+P62+P61+P60+P59+P58+P57+P54+P50+P46+P43+P36+P26+P23+P16+P18+P15+P12+P17+P64</f>
        <v>345108</v>
      </c>
      <c r="Q66" s="70">
        <f>+Q65+Q63+Q62+Q61+Q60+Q59+Q58+Q57+Q54+Q50+Q46+Q43+Q36+Q26+Q23+Q16+Q18+Q15+Q12+Q17+Q64</f>
        <v>150686</v>
      </c>
      <c r="R66" s="70">
        <f>+R65+R63+R62+R61+R60+R59+R58+R57+R54+R50+R46+R43+R36+R26+R23+R16+R18+R15+R12+R17+R64</f>
        <v>323783</v>
      </c>
      <c r="S66" s="70">
        <f t="shared" si="13"/>
        <v>13187935</v>
      </c>
      <c r="T66" s="53">
        <f t="shared" si="12"/>
        <v>100</v>
      </c>
      <c r="U66" s="6"/>
    </row>
    <row r="67" spans="1:21" s="38" customFormat="1" ht="17.25">
      <c r="A67" s="76" t="s">
        <v>83</v>
      </c>
      <c r="B67" s="77"/>
      <c r="C67" s="77"/>
      <c r="D67" s="77"/>
      <c r="E67" s="77"/>
      <c r="F67" s="77"/>
      <c r="G67" s="77"/>
      <c r="H67" s="77"/>
      <c r="I67" s="77"/>
      <c r="J67" s="76" t="s">
        <v>89</v>
      </c>
      <c r="K67" s="77"/>
      <c r="L67" s="77"/>
      <c r="M67" s="77"/>
      <c r="N67" s="77"/>
      <c r="O67" s="77"/>
      <c r="P67" s="77"/>
      <c r="Q67" s="77"/>
      <c r="R67" s="77"/>
      <c r="S67" s="77"/>
      <c r="T67" s="78"/>
      <c r="U67" s="27"/>
    </row>
    <row r="68" spans="1:21">
      <c r="A68" s="79" t="s">
        <v>86</v>
      </c>
      <c r="B68" s="6"/>
      <c r="C68" s="6"/>
      <c r="D68" s="6"/>
      <c r="E68" s="6"/>
      <c r="F68" s="6"/>
      <c r="G68" s="7"/>
      <c r="H68" s="6"/>
      <c r="I68" s="6"/>
      <c r="J68" s="6"/>
      <c r="K68" s="6"/>
      <c r="L68" s="6"/>
      <c r="M68" s="8"/>
      <c r="N68" s="6"/>
      <c r="O68" s="6"/>
      <c r="P68" s="6"/>
      <c r="Q68" s="6"/>
      <c r="R68" s="6"/>
      <c r="S68" s="9"/>
      <c r="T68" s="73" t="s">
        <v>73</v>
      </c>
      <c r="U68" s="6"/>
    </row>
    <row r="70" spans="1:21"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</row>
    <row r="71" spans="1:21">
      <c r="F71" s="74"/>
      <c r="K71" s="74"/>
    </row>
    <row r="72" spans="1:21">
      <c r="F72" s="26"/>
      <c r="K72" s="74"/>
    </row>
    <row r="73" spans="1:21">
      <c r="S73" s="48"/>
    </row>
    <row r="74" spans="1:21">
      <c r="S74" s="48"/>
    </row>
  </sheetData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rowBreaks count="1" manualBreakCount="1">
    <brk id="46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73"/>
  <sheetViews>
    <sheetView showGridLines="0" workbookViewId="0">
      <pane ySplit="4" topLeftCell="A5" activePane="bottomLeft" state="frozenSplit"/>
      <selection activeCell="F9" sqref="F9"/>
      <selection pane="bottomLeft" activeCell="A4" sqref="A4"/>
    </sheetView>
  </sheetViews>
  <sheetFormatPr defaultColWidth="9.28515625" defaultRowHeight="15"/>
  <cols>
    <col min="1" max="1" width="24" style="2" customWidth="1"/>
    <col min="2" max="5" width="8.28515625" style="2" customWidth="1"/>
    <col min="6" max="6" width="9.5703125" style="2" customWidth="1"/>
    <col min="7" max="7" width="9.5703125" style="3" customWidth="1"/>
    <col min="8" max="8" width="8.28515625" style="2" customWidth="1"/>
    <col min="9" max="9" width="9.42578125" style="2" customWidth="1"/>
    <col min="10" max="10" width="9.5703125" style="2" customWidth="1"/>
    <col min="11" max="11" width="7.28515625" style="2" customWidth="1"/>
    <col min="12" max="12" width="8.28515625" style="2" customWidth="1"/>
    <col min="13" max="13" width="8.28515625" style="3" customWidth="1"/>
    <col min="14" max="14" width="9.5703125" style="2" customWidth="1"/>
    <col min="15" max="18" width="8.28515625" style="2" customWidth="1"/>
    <col min="19" max="19" width="10.7109375" style="2" bestFit="1" customWidth="1"/>
    <col min="20" max="20" width="7" style="4" customWidth="1"/>
    <col min="21" max="16384" width="9.28515625" style="2"/>
  </cols>
  <sheetData>
    <row r="1" spans="1:21" ht="21.4" customHeight="1">
      <c r="B1" s="1" t="s">
        <v>102</v>
      </c>
    </row>
    <row r="2" spans="1:21" ht="15.75">
      <c r="B2" s="5" t="s">
        <v>103</v>
      </c>
      <c r="C2" s="6"/>
      <c r="D2" s="6"/>
      <c r="E2" s="6"/>
      <c r="F2" s="6"/>
      <c r="G2" s="7"/>
      <c r="H2" s="6"/>
      <c r="I2" s="6"/>
      <c r="J2" s="6"/>
      <c r="K2" s="6"/>
      <c r="L2" s="6"/>
      <c r="M2" s="8"/>
      <c r="N2" s="6"/>
      <c r="O2" s="6"/>
      <c r="P2" s="6"/>
      <c r="Q2" s="6"/>
      <c r="R2" s="6"/>
      <c r="S2" s="47"/>
      <c r="T2" s="10"/>
      <c r="U2" s="6"/>
    </row>
    <row r="3" spans="1:21">
      <c r="A3" s="6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9"/>
      <c r="T3" s="10"/>
      <c r="U3" s="6"/>
    </row>
    <row r="4" spans="1:21" ht="17.25">
      <c r="A4" s="80" t="s">
        <v>0</v>
      </c>
      <c r="B4" s="81" t="s">
        <v>1</v>
      </c>
      <c r="C4" s="81" t="s">
        <v>2</v>
      </c>
      <c r="D4" s="81" t="s">
        <v>82</v>
      </c>
      <c r="E4" s="81" t="s">
        <v>79</v>
      </c>
      <c r="F4" s="81" t="s">
        <v>3</v>
      </c>
      <c r="G4" s="81" t="s">
        <v>80</v>
      </c>
      <c r="H4" s="81" t="s">
        <v>4</v>
      </c>
      <c r="I4" s="81" t="s">
        <v>5</v>
      </c>
      <c r="J4" s="81" t="s">
        <v>81</v>
      </c>
      <c r="K4" s="81" t="s">
        <v>6</v>
      </c>
      <c r="L4" s="81" t="s">
        <v>7</v>
      </c>
      <c r="M4" s="81" t="s">
        <v>8</v>
      </c>
      <c r="N4" s="81" t="s">
        <v>9</v>
      </c>
      <c r="O4" s="81" t="s">
        <v>10</v>
      </c>
      <c r="P4" s="81" t="s">
        <v>11</v>
      </c>
      <c r="Q4" s="81" t="s">
        <v>12</v>
      </c>
      <c r="R4" s="81" t="s">
        <v>13</v>
      </c>
      <c r="S4" s="81" t="s">
        <v>85</v>
      </c>
      <c r="T4" s="81" t="s">
        <v>15</v>
      </c>
      <c r="U4" s="11"/>
    </row>
    <row r="5" spans="1:21">
      <c r="A5" s="12" t="s">
        <v>16</v>
      </c>
      <c r="B5" s="28">
        <v>18304</v>
      </c>
      <c r="C5" s="28">
        <v>29939</v>
      </c>
      <c r="D5" s="28">
        <v>6761</v>
      </c>
      <c r="E5" s="28">
        <v>6283</v>
      </c>
      <c r="F5" s="28">
        <v>56395</v>
      </c>
      <c r="G5" s="28">
        <f>255201+4258</f>
        <v>259459</v>
      </c>
      <c r="H5" s="28">
        <v>2433</v>
      </c>
      <c r="I5" s="28">
        <v>4272</v>
      </c>
      <c r="J5" s="28">
        <v>49984</v>
      </c>
      <c r="K5" s="28">
        <v>4832</v>
      </c>
      <c r="L5" s="28">
        <v>15568</v>
      </c>
      <c r="M5" s="29">
        <v>7954</v>
      </c>
      <c r="N5" s="28">
        <v>158987</v>
      </c>
      <c r="O5" s="28">
        <v>37656</v>
      </c>
      <c r="P5" s="28">
        <v>18612</v>
      </c>
      <c r="Q5" s="28">
        <v>7077</v>
      </c>
      <c r="R5" s="28">
        <v>20949</v>
      </c>
      <c r="S5" s="43">
        <f t="shared" ref="S5:S42" si="0">SUM(B5:R5)</f>
        <v>705465</v>
      </c>
      <c r="T5" s="13">
        <f t="shared" ref="T5:T36" si="1">S5/S$65*100</f>
        <v>5.8281877369341952</v>
      </c>
      <c r="U5" s="6"/>
    </row>
    <row r="6" spans="1:21">
      <c r="A6" s="14" t="s">
        <v>17</v>
      </c>
      <c r="B6" s="30">
        <v>68</v>
      </c>
      <c r="C6" s="30">
        <v>48</v>
      </c>
      <c r="D6" s="30">
        <v>3</v>
      </c>
      <c r="E6" s="30"/>
      <c r="F6" s="30"/>
      <c r="G6" s="30">
        <f>91+413</f>
        <v>504</v>
      </c>
      <c r="H6" s="30">
        <v>2</v>
      </c>
      <c r="I6" s="30">
        <v>1</v>
      </c>
      <c r="J6" s="30"/>
      <c r="K6" s="30">
        <f>26+6</f>
        <v>32</v>
      </c>
      <c r="L6" s="30">
        <f>15+41</f>
        <v>56</v>
      </c>
      <c r="M6" s="31">
        <v>4</v>
      </c>
      <c r="N6" s="32">
        <v>1472</v>
      </c>
      <c r="O6" s="30">
        <f>4+28</f>
        <v>32</v>
      </c>
      <c r="P6" s="30"/>
      <c r="Q6" s="30"/>
      <c r="R6" s="30"/>
      <c r="S6" s="44">
        <f t="shared" si="0"/>
        <v>2222</v>
      </c>
      <c r="T6" s="15">
        <f t="shared" si="1"/>
        <v>1.8357017217675974E-2</v>
      </c>
      <c r="U6" s="6"/>
    </row>
    <row r="7" spans="1:21">
      <c r="A7" s="14" t="s">
        <v>18</v>
      </c>
      <c r="B7" s="30">
        <v>18</v>
      </c>
      <c r="C7" s="30">
        <v>10</v>
      </c>
      <c r="D7" s="30">
        <v>2</v>
      </c>
      <c r="E7" s="30"/>
      <c r="F7" s="30"/>
      <c r="G7" s="30">
        <v>162</v>
      </c>
      <c r="H7" s="30"/>
      <c r="J7" s="30">
        <v>47</v>
      </c>
      <c r="K7" s="30">
        <v>8</v>
      </c>
      <c r="L7" s="30">
        <v>4</v>
      </c>
      <c r="M7" s="31">
        <v>1</v>
      </c>
      <c r="N7" s="30"/>
      <c r="O7" s="30">
        <v>9</v>
      </c>
      <c r="P7" s="30">
        <v>5</v>
      </c>
      <c r="Q7" s="30"/>
      <c r="R7" s="30"/>
      <c r="S7" s="44">
        <f t="shared" si="0"/>
        <v>266</v>
      </c>
      <c r="T7" s="15">
        <f t="shared" si="1"/>
        <v>2.1975547164274569E-3</v>
      </c>
      <c r="U7" s="6"/>
    </row>
    <row r="8" spans="1:21">
      <c r="A8" s="14" t="s">
        <v>69</v>
      </c>
      <c r="B8" s="30">
        <v>1046</v>
      </c>
      <c r="C8" s="30">
        <v>2126</v>
      </c>
      <c r="D8" s="30">
        <v>63</v>
      </c>
      <c r="E8" s="30">
        <v>142</v>
      </c>
      <c r="F8" s="30">
        <v>3449</v>
      </c>
      <c r="G8" s="30">
        <v>24365</v>
      </c>
      <c r="H8" s="30">
        <v>13</v>
      </c>
      <c r="I8" s="30">
        <v>49</v>
      </c>
      <c r="J8" s="30">
        <v>4111</v>
      </c>
      <c r="K8" s="30">
        <v>567</v>
      </c>
      <c r="L8" s="30">
        <v>1025</v>
      </c>
      <c r="M8" s="31">
        <v>395</v>
      </c>
      <c r="N8" s="30">
        <v>9160</v>
      </c>
      <c r="O8" s="30">
        <v>1615</v>
      </c>
      <c r="P8" s="30">
        <v>819</v>
      </c>
      <c r="Q8" s="30">
        <v>417</v>
      </c>
      <c r="R8" s="30">
        <v>3165</v>
      </c>
      <c r="S8" s="44">
        <f>SUM(B8:R8)</f>
        <v>52527</v>
      </c>
      <c r="T8" s="15">
        <f t="shared" si="1"/>
        <v>0.433950964623252</v>
      </c>
      <c r="U8" s="6"/>
    </row>
    <row r="9" spans="1:21">
      <c r="A9" s="14" t="s">
        <v>19</v>
      </c>
      <c r="B9" s="30">
        <v>13876</v>
      </c>
      <c r="C9" s="30">
        <v>6730</v>
      </c>
      <c r="D9" s="30">
        <v>4526</v>
      </c>
      <c r="E9" s="30">
        <v>1799</v>
      </c>
      <c r="F9" s="30">
        <v>21090</v>
      </c>
      <c r="G9" s="30">
        <v>93129</v>
      </c>
      <c r="H9" s="30">
        <v>2041</v>
      </c>
      <c r="I9" s="30">
        <v>2402</v>
      </c>
      <c r="J9" s="30">
        <v>12564</v>
      </c>
      <c r="K9" s="30">
        <v>785</v>
      </c>
      <c r="L9" s="30">
        <v>11004</v>
      </c>
      <c r="M9" s="31">
        <v>6666</v>
      </c>
      <c r="N9" s="30">
        <v>53512</v>
      </c>
      <c r="O9" s="30">
        <v>67894</v>
      </c>
      <c r="P9" s="30">
        <v>3364</v>
      </c>
      <c r="Q9" s="30"/>
      <c r="R9" s="30">
        <v>9378</v>
      </c>
      <c r="S9" s="44">
        <f t="shared" si="0"/>
        <v>310760</v>
      </c>
      <c r="T9" s="15">
        <f t="shared" si="1"/>
        <v>2.5673387356278061</v>
      </c>
      <c r="U9" s="6"/>
    </row>
    <row r="10" spans="1:21">
      <c r="A10" s="14" t="s">
        <v>20</v>
      </c>
      <c r="B10" s="30">
        <v>20654</v>
      </c>
      <c r="C10" s="30">
        <v>17245</v>
      </c>
      <c r="D10" s="30">
        <v>13322</v>
      </c>
      <c r="E10" s="30">
        <v>9645</v>
      </c>
      <c r="F10" s="30">
        <v>20412</v>
      </c>
      <c r="G10" s="30">
        <v>173583</v>
      </c>
      <c r="H10" s="30">
        <v>3309</v>
      </c>
      <c r="I10" s="30">
        <v>6296</v>
      </c>
      <c r="J10" s="30">
        <v>13194</v>
      </c>
      <c r="K10" s="30">
        <v>1515</v>
      </c>
      <c r="L10" s="30">
        <v>20246</v>
      </c>
      <c r="M10" s="31">
        <v>2399</v>
      </c>
      <c r="N10" s="30">
        <v>75488</v>
      </c>
      <c r="O10" s="30">
        <v>18193</v>
      </c>
      <c r="P10" s="30">
        <v>13339</v>
      </c>
      <c r="Q10" s="30">
        <v>7451</v>
      </c>
      <c r="R10" s="30">
        <v>19517</v>
      </c>
      <c r="S10" s="44">
        <f t="shared" si="0"/>
        <v>435808</v>
      </c>
      <c r="T10" s="15">
        <f t="shared" si="1"/>
        <v>3.6004207738978082</v>
      </c>
      <c r="U10" s="6"/>
    </row>
    <row r="11" spans="1:21">
      <c r="A11" s="14" t="s">
        <v>21</v>
      </c>
      <c r="B11" s="30">
        <v>54775</v>
      </c>
      <c r="C11" s="30">
        <v>49103</v>
      </c>
      <c r="D11" s="30">
        <v>23030</v>
      </c>
      <c r="E11" s="30">
        <v>12959</v>
      </c>
      <c r="F11" s="30">
        <v>139554</v>
      </c>
      <c r="G11" s="30">
        <v>656494</v>
      </c>
      <c r="H11" s="30">
        <v>6906</v>
      </c>
      <c r="I11" s="30">
        <v>11670</v>
      </c>
      <c r="J11" s="30">
        <v>110342</v>
      </c>
      <c r="K11" s="30">
        <v>6437</v>
      </c>
      <c r="L11" s="30">
        <v>42682</v>
      </c>
      <c r="M11" s="31">
        <v>13873</v>
      </c>
      <c r="N11" s="30">
        <v>214828</v>
      </c>
      <c r="O11" s="30">
        <v>76958</v>
      </c>
      <c r="P11" s="30">
        <v>44948</v>
      </c>
      <c r="Q11" s="30">
        <v>21659</v>
      </c>
      <c r="R11" s="30">
        <v>40146</v>
      </c>
      <c r="S11" s="44">
        <f t="shared" si="0"/>
        <v>1526364</v>
      </c>
      <c r="T11" s="15">
        <f t="shared" si="1"/>
        <v>12.610031605958943</v>
      </c>
      <c r="U11" s="6"/>
    </row>
    <row r="12" spans="1:21">
      <c r="A12" s="16" t="s">
        <v>23</v>
      </c>
      <c r="B12" s="17">
        <f t="shared" ref="B12:R12" si="2">SUM(B5:B11)</f>
        <v>108741</v>
      </c>
      <c r="C12" s="17">
        <f t="shared" si="2"/>
        <v>105201</v>
      </c>
      <c r="D12" s="17">
        <f t="shared" si="2"/>
        <v>47707</v>
      </c>
      <c r="E12" s="17">
        <f t="shared" si="2"/>
        <v>30828</v>
      </c>
      <c r="F12" s="17">
        <f t="shared" si="2"/>
        <v>240900</v>
      </c>
      <c r="G12" s="17">
        <f t="shared" si="2"/>
        <v>1207696</v>
      </c>
      <c r="H12" s="17">
        <f t="shared" si="2"/>
        <v>14704</v>
      </c>
      <c r="I12" s="17">
        <f t="shared" si="2"/>
        <v>24690</v>
      </c>
      <c r="J12" s="17">
        <f t="shared" si="2"/>
        <v>190242</v>
      </c>
      <c r="K12" s="17">
        <f t="shared" si="2"/>
        <v>14176</v>
      </c>
      <c r="L12" s="17">
        <f t="shared" si="2"/>
        <v>90585</v>
      </c>
      <c r="M12" s="17">
        <f t="shared" si="2"/>
        <v>31292</v>
      </c>
      <c r="N12" s="17">
        <f t="shared" si="2"/>
        <v>513447</v>
      </c>
      <c r="O12" s="17">
        <f t="shared" si="2"/>
        <v>202357</v>
      </c>
      <c r="P12" s="17">
        <f t="shared" si="2"/>
        <v>81087</v>
      </c>
      <c r="Q12" s="17">
        <f t="shared" si="2"/>
        <v>36604</v>
      </c>
      <c r="R12" s="17">
        <f t="shared" si="2"/>
        <v>93155</v>
      </c>
      <c r="S12" s="44">
        <f t="shared" si="0"/>
        <v>3033412</v>
      </c>
      <c r="T12" s="18">
        <f t="shared" si="1"/>
        <v>25.060484388976107</v>
      </c>
      <c r="U12" s="6"/>
    </row>
    <row r="13" spans="1:21">
      <c r="A13" s="14" t="s">
        <v>24</v>
      </c>
      <c r="B13" s="30">
        <v>7775</v>
      </c>
      <c r="C13" s="30">
        <v>32303</v>
      </c>
      <c r="D13" s="30">
        <v>12800</v>
      </c>
      <c r="E13" s="30">
        <v>2241</v>
      </c>
      <c r="F13" s="30">
        <f>199382+31746</f>
        <v>231128</v>
      </c>
      <c r="G13" s="30">
        <v>52003</v>
      </c>
      <c r="H13" s="30">
        <v>3414</v>
      </c>
      <c r="I13" s="30">
        <v>1361</v>
      </c>
      <c r="J13" s="30">
        <v>53141</v>
      </c>
      <c r="K13" s="30">
        <v>2271</v>
      </c>
      <c r="L13" s="30">
        <v>19147</v>
      </c>
      <c r="M13" s="31">
        <v>7360</v>
      </c>
      <c r="N13" s="30">
        <v>83397</v>
      </c>
      <c r="O13" s="30">
        <v>54614</v>
      </c>
      <c r="P13" s="30">
        <v>5696</v>
      </c>
      <c r="Q13" s="30">
        <v>2751</v>
      </c>
      <c r="R13" s="30">
        <v>11268</v>
      </c>
      <c r="S13" s="44">
        <f t="shared" si="0"/>
        <v>582670</v>
      </c>
      <c r="T13" s="15">
        <f t="shared" si="1"/>
        <v>4.813718821882655</v>
      </c>
      <c r="U13" s="6"/>
    </row>
    <row r="14" spans="1:21">
      <c r="A14" s="14" t="s">
        <v>25</v>
      </c>
      <c r="B14" s="30">
        <v>10419</v>
      </c>
      <c r="C14" s="30">
        <v>38472</v>
      </c>
      <c r="D14" s="30">
        <v>18237</v>
      </c>
      <c r="E14" s="30">
        <v>2580</v>
      </c>
      <c r="F14" s="30">
        <v>305014</v>
      </c>
      <c r="G14" s="30">
        <v>54096</v>
      </c>
      <c r="H14" s="30">
        <v>1969</v>
      </c>
      <c r="I14" s="30">
        <v>2904</v>
      </c>
      <c r="J14" s="30">
        <v>71365</v>
      </c>
      <c r="K14" s="30">
        <v>2723</v>
      </c>
      <c r="L14" s="30">
        <v>36919</v>
      </c>
      <c r="M14" s="31">
        <v>13177</v>
      </c>
      <c r="N14" s="30">
        <v>103566</v>
      </c>
      <c r="O14" s="30">
        <v>62570</v>
      </c>
      <c r="P14" s="30">
        <v>7397</v>
      </c>
      <c r="Q14" s="30">
        <v>6555</v>
      </c>
      <c r="R14" s="30">
        <v>11423</v>
      </c>
      <c r="S14" s="44">
        <f t="shared" si="0"/>
        <v>749386</v>
      </c>
      <c r="T14" s="15">
        <f t="shared" si="1"/>
        <v>6.1910403711455118</v>
      </c>
      <c r="U14" s="6"/>
    </row>
    <row r="15" spans="1:21">
      <c r="A15" s="16" t="s">
        <v>26</v>
      </c>
      <c r="B15" s="17">
        <f t="shared" ref="B15:R15" si="3">+B14+B13</f>
        <v>18194</v>
      </c>
      <c r="C15" s="17">
        <f t="shared" si="3"/>
        <v>70775</v>
      </c>
      <c r="D15" s="17">
        <f t="shared" si="3"/>
        <v>31037</v>
      </c>
      <c r="E15" s="17">
        <f t="shared" si="3"/>
        <v>4821</v>
      </c>
      <c r="F15" s="17">
        <f t="shared" si="3"/>
        <v>536142</v>
      </c>
      <c r="G15" s="17">
        <f t="shared" si="3"/>
        <v>106099</v>
      </c>
      <c r="H15" s="17">
        <f t="shared" si="3"/>
        <v>5383</v>
      </c>
      <c r="I15" s="17">
        <f t="shared" si="3"/>
        <v>4265</v>
      </c>
      <c r="J15" s="17">
        <f t="shared" si="3"/>
        <v>124506</v>
      </c>
      <c r="K15" s="17">
        <f t="shared" si="3"/>
        <v>4994</v>
      </c>
      <c r="L15" s="17">
        <f t="shared" si="3"/>
        <v>56066</v>
      </c>
      <c r="M15" s="17">
        <f t="shared" si="3"/>
        <v>20537</v>
      </c>
      <c r="N15" s="17">
        <f t="shared" si="3"/>
        <v>186963</v>
      </c>
      <c r="O15" s="17">
        <f t="shared" si="3"/>
        <v>117184</v>
      </c>
      <c r="P15" s="17">
        <f t="shared" si="3"/>
        <v>13093</v>
      </c>
      <c r="Q15" s="17">
        <f t="shared" si="3"/>
        <v>9306</v>
      </c>
      <c r="R15" s="17">
        <f t="shared" si="3"/>
        <v>22691</v>
      </c>
      <c r="S15" s="44">
        <f t="shared" si="0"/>
        <v>1332056</v>
      </c>
      <c r="T15" s="18">
        <f t="shared" si="1"/>
        <v>11.004759193028168</v>
      </c>
      <c r="U15" s="6"/>
    </row>
    <row r="16" spans="1:21">
      <c r="A16" s="16" t="s">
        <v>27</v>
      </c>
      <c r="B16" s="17">
        <v>18840</v>
      </c>
      <c r="C16" s="17">
        <v>24790</v>
      </c>
      <c r="D16" s="17">
        <v>14959</v>
      </c>
      <c r="E16" s="17">
        <v>7400</v>
      </c>
      <c r="F16" s="17">
        <v>75089</v>
      </c>
      <c r="G16" s="17">
        <v>209131</v>
      </c>
      <c r="H16" s="17">
        <v>3682</v>
      </c>
      <c r="I16" s="17">
        <v>9481</v>
      </c>
      <c r="J16" s="17">
        <v>91619</v>
      </c>
      <c r="K16" s="17">
        <f>2+16+2317</f>
        <v>2335</v>
      </c>
      <c r="L16" s="17">
        <f>20768+7</f>
        <v>20775</v>
      </c>
      <c r="M16" s="19">
        <v>5677</v>
      </c>
      <c r="N16" s="17">
        <v>326643</v>
      </c>
      <c r="O16" s="17">
        <v>58818</v>
      </c>
      <c r="P16" s="17">
        <v>11309</v>
      </c>
      <c r="Q16" s="17">
        <v>7821</v>
      </c>
      <c r="R16" s="17">
        <v>12949</v>
      </c>
      <c r="S16" s="44">
        <f t="shared" si="0"/>
        <v>901318</v>
      </c>
      <c r="T16" s="18">
        <f t="shared" si="1"/>
        <v>7.4462241424848212</v>
      </c>
      <c r="U16" s="6"/>
    </row>
    <row r="17" spans="1:21">
      <c r="A17" s="16" t="s">
        <v>74</v>
      </c>
      <c r="B17" s="17">
        <v>1</v>
      </c>
      <c r="C17" s="17"/>
      <c r="D17" s="17"/>
      <c r="E17" s="17"/>
      <c r="F17" s="17"/>
      <c r="G17" s="17"/>
      <c r="H17" s="17"/>
      <c r="I17" s="17"/>
      <c r="J17" s="17"/>
      <c r="K17" s="17"/>
      <c r="L17" s="17">
        <v>1</v>
      </c>
      <c r="M17" s="19"/>
      <c r="N17" s="17">
        <v>3</v>
      </c>
      <c r="O17" s="17"/>
      <c r="P17" s="17">
        <v>264</v>
      </c>
      <c r="Q17" s="17"/>
      <c r="R17" s="17"/>
      <c r="S17" s="44">
        <f>SUM(B17:R17)</f>
        <v>269</v>
      </c>
      <c r="T17" s="18">
        <f t="shared" si="1"/>
        <v>2.222339168116488E-3</v>
      </c>
      <c r="U17" s="6"/>
    </row>
    <row r="18" spans="1:21">
      <c r="A18" s="16" t="s">
        <v>28</v>
      </c>
      <c r="B18" s="17">
        <v>3082</v>
      </c>
      <c r="C18" s="17">
        <v>15822</v>
      </c>
      <c r="D18" s="17">
        <v>2022</v>
      </c>
      <c r="E18" s="17">
        <v>7693</v>
      </c>
      <c r="F18" s="17">
        <v>12459</v>
      </c>
      <c r="G18" s="17">
        <v>31919</v>
      </c>
      <c r="H18" s="17">
        <v>1832</v>
      </c>
      <c r="I18" s="17">
        <v>1199</v>
      </c>
      <c r="J18" s="17">
        <v>14172</v>
      </c>
      <c r="K18" s="17">
        <v>1232</v>
      </c>
      <c r="L18" s="17">
        <v>21971</v>
      </c>
      <c r="M18" s="19">
        <v>2677</v>
      </c>
      <c r="N18" s="17">
        <v>41066</v>
      </c>
      <c r="O18" s="17">
        <v>8089</v>
      </c>
      <c r="P18" s="17">
        <v>61496</v>
      </c>
      <c r="Q18" s="17">
        <v>11325</v>
      </c>
      <c r="R18" s="17">
        <v>6867</v>
      </c>
      <c r="S18" s="44">
        <f t="shared" si="0"/>
        <v>244923</v>
      </c>
      <c r="T18" s="18">
        <f t="shared" si="1"/>
        <v>2.023427420344218</v>
      </c>
      <c r="U18" s="6"/>
    </row>
    <row r="19" spans="1:21" s="38" customFormat="1">
      <c r="A19" s="39" t="s">
        <v>75</v>
      </c>
      <c r="B19" s="30">
        <v>13</v>
      </c>
      <c r="C19" s="30">
        <v>14</v>
      </c>
      <c r="D19" s="30"/>
      <c r="E19" s="30"/>
      <c r="F19" s="30"/>
      <c r="G19" s="30">
        <v>97</v>
      </c>
      <c r="H19" s="30"/>
      <c r="I19" s="30"/>
      <c r="J19" s="30"/>
      <c r="K19" s="30">
        <v>11</v>
      </c>
      <c r="L19" s="30">
        <v>2</v>
      </c>
      <c r="M19" s="31"/>
      <c r="N19" s="30"/>
      <c r="O19" s="30">
        <v>1</v>
      </c>
      <c r="P19" s="30"/>
      <c r="Q19" s="30">
        <v>2</v>
      </c>
      <c r="R19" s="30"/>
      <c r="S19" s="42">
        <f t="shared" si="0"/>
        <v>140</v>
      </c>
      <c r="T19" s="40">
        <f t="shared" si="1"/>
        <v>1.156607745488135E-3</v>
      </c>
      <c r="U19" s="27"/>
    </row>
    <row r="20" spans="1:21">
      <c r="A20" s="14" t="s">
        <v>29</v>
      </c>
      <c r="B20" s="30">
        <v>1049</v>
      </c>
      <c r="C20" s="30">
        <v>2489</v>
      </c>
      <c r="D20" s="30">
        <v>2462</v>
      </c>
      <c r="E20" s="30">
        <v>302</v>
      </c>
      <c r="F20" s="30">
        <v>4185</v>
      </c>
      <c r="G20" s="30">
        <v>5516</v>
      </c>
      <c r="H20" s="30">
        <v>714</v>
      </c>
      <c r="I20" s="30"/>
      <c r="J20" s="30">
        <v>7097</v>
      </c>
      <c r="K20" s="30">
        <v>144</v>
      </c>
      <c r="L20" s="30">
        <v>164</v>
      </c>
      <c r="M20" s="31">
        <v>358</v>
      </c>
      <c r="N20" s="30">
        <v>2774</v>
      </c>
      <c r="O20" s="30">
        <v>2729</v>
      </c>
      <c r="P20" s="30">
        <v>914</v>
      </c>
      <c r="Q20" s="30">
        <v>425</v>
      </c>
      <c r="R20" s="30">
        <v>2072</v>
      </c>
      <c r="S20" s="44">
        <f t="shared" si="0"/>
        <v>33394</v>
      </c>
      <c r="T20" s="15">
        <f t="shared" si="1"/>
        <v>0.27588399323450563</v>
      </c>
      <c r="U20" s="6"/>
    </row>
    <row r="21" spans="1:21">
      <c r="A21" s="14" t="s">
        <v>30</v>
      </c>
      <c r="B21" s="30">
        <v>21162</v>
      </c>
      <c r="C21" s="30">
        <v>31876</v>
      </c>
      <c r="D21" s="30">
        <v>7470</v>
      </c>
      <c r="E21" s="30">
        <v>4500</v>
      </c>
      <c r="F21" s="30">
        <v>61246</v>
      </c>
      <c r="G21" s="30">
        <v>219084</v>
      </c>
      <c r="H21" s="30">
        <v>6480</v>
      </c>
      <c r="I21" s="30">
        <v>6356</v>
      </c>
      <c r="J21" s="30">
        <v>75688</v>
      </c>
      <c r="K21" s="30">
        <v>2195</v>
      </c>
      <c r="L21" s="30">
        <v>23412</v>
      </c>
      <c r="M21" s="31">
        <v>8410</v>
      </c>
      <c r="N21" s="30">
        <v>269177</v>
      </c>
      <c r="O21" s="30">
        <v>66700</v>
      </c>
      <c r="P21" s="30">
        <v>5675</v>
      </c>
      <c r="Q21" s="30">
        <v>2947</v>
      </c>
      <c r="R21" s="30">
        <v>13384</v>
      </c>
      <c r="S21" s="44">
        <f t="shared" si="0"/>
        <v>825762</v>
      </c>
      <c r="T21" s="15">
        <f t="shared" si="1"/>
        <v>6.8220194652126667</v>
      </c>
      <c r="U21" s="6"/>
    </row>
    <row r="22" spans="1:21">
      <c r="A22" s="14" t="s">
        <v>22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1"/>
      <c r="N22" s="30"/>
      <c r="O22" s="30"/>
      <c r="P22" s="30"/>
      <c r="Q22" s="30"/>
      <c r="R22" s="30"/>
      <c r="S22" s="44">
        <f t="shared" si="0"/>
        <v>0</v>
      </c>
      <c r="T22" s="15">
        <f t="shared" si="1"/>
        <v>0</v>
      </c>
      <c r="U22" s="6"/>
    </row>
    <row r="23" spans="1:21">
      <c r="A23" s="16" t="s">
        <v>31</v>
      </c>
      <c r="B23" s="17">
        <f t="shared" ref="B23:J23" si="4">SUM(B19:B22)</f>
        <v>22224</v>
      </c>
      <c r="C23" s="17">
        <f t="shared" si="4"/>
        <v>34379</v>
      </c>
      <c r="D23" s="17">
        <f t="shared" si="4"/>
        <v>9932</v>
      </c>
      <c r="E23" s="17">
        <f t="shared" si="4"/>
        <v>4802</v>
      </c>
      <c r="F23" s="17">
        <f t="shared" si="4"/>
        <v>65431</v>
      </c>
      <c r="G23" s="17">
        <f t="shared" si="4"/>
        <v>224697</v>
      </c>
      <c r="H23" s="17">
        <f t="shared" si="4"/>
        <v>7194</v>
      </c>
      <c r="I23" s="17">
        <f t="shared" si="4"/>
        <v>6356</v>
      </c>
      <c r="J23" s="17">
        <f t="shared" si="4"/>
        <v>82785</v>
      </c>
      <c r="K23" s="17">
        <f>SUM(K19:K22)</f>
        <v>2350</v>
      </c>
      <c r="L23" s="17">
        <f t="shared" ref="L23:R23" si="5">SUM(L19:L22)</f>
        <v>23578</v>
      </c>
      <c r="M23" s="17">
        <f t="shared" si="5"/>
        <v>8768</v>
      </c>
      <c r="N23" s="17">
        <f t="shared" si="5"/>
        <v>271951</v>
      </c>
      <c r="O23" s="17">
        <f t="shared" si="5"/>
        <v>69430</v>
      </c>
      <c r="P23" s="17">
        <f t="shared" si="5"/>
        <v>6589</v>
      </c>
      <c r="Q23" s="17">
        <f t="shared" si="5"/>
        <v>3374</v>
      </c>
      <c r="R23" s="17">
        <f t="shared" si="5"/>
        <v>15456</v>
      </c>
      <c r="S23" s="44">
        <f t="shared" si="0"/>
        <v>859296</v>
      </c>
      <c r="T23" s="18">
        <f t="shared" si="1"/>
        <v>7.0990600661926608</v>
      </c>
      <c r="U23" s="9"/>
    </row>
    <row r="24" spans="1:21" s="3" customFormat="1">
      <c r="A24" s="20" t="s">
        <v>32</v>
      </c>
      <c r="B24" s="30">
        <v>7938</v>
      </c>
      <c r="C24" s="30">
        <v>16466</v>
      </c>
      <c r="D24" s="30">
        <v>2822</v>
      </c>
      <c r="E24" s="30">
        <v>1358</v>
      </c>
      <c r="F24" s="30">
        <v>102516</v>
      </c>
      <c r="G24" s="30">
        <v>48907</v>
      </c>
      <c r="H24" s="30">
        <v>484</v>
      </c>
      <c r="I24" s="30">
        <v>2695</v>
      </c>
      <c r="J24" s="30">
        <v>38125</v>
      </c>
      <c r="K24" s="30">
        <v>841</v>
      </c>
      <c r="L24" s="30">
        <v>4375</v>
      </c>
      <c r="M24" s="31">
        <v>3433</v>
      </c>
      <c r="N24" s="30">
        <v>23862</v>
      </c>
      <c r="O24" s="30">
        <v>36485</v>
      </c>
      <c r="P24" s="30">
        <v>4778</v>
      </c>
      <c r="Q24" s="30">
        <v>153</v>
      </c>
      <c r="R24" s="30">
        <v>4784</v>
      </c>
      <c r="S24" s="44">
        <f t="shared" si="0"/>
        <v>300022</v>
      </c>
      <c r="T24" s="15">
        <f t="shared" si="1"/>
        <v>2.4786269215488663</v>
      </c>
      <c r="U24" s="21"/>
    </row>
    <row r="25" spans="1:21" s="3" customFormat="1">
      <c r="A25" s="20" t="s">
        <v>33</v>
      </c>
      <c r="B25" s="30">
        <v>16152</v>
      </c>
      <c r="C25" s="30">
        <v>44112</v>
      </c>
      <c r="D25" s="30">
        <v>11333</v>
      </c>
      <c r="E25" s="30">
        <v>1731</v>
      </c>
      <c r="F25" s="30">
        <v>353890</v>
      </c>
      <c r="G25" s="30">
        <v>105322</v>
      </c>
      <c r="H25" s="30">
        <v>2520</v>
      </c>
      <c r="I25" s="30">
        <v>4881</v>
      </c>
      <c r="J25" s="30">
        <v>81526</v>
      </c>
      <c r="K25" s="30">
        <v>5031</v>
      </c>
      <c r="L25" s="30">
        <v>30508</v>
      </c>
      <c r="M25" s="31">
        <v>16319</v>
      </c>
      <c r="N25" s="30">
        <v>66334</v>
      </c>
      <c r="O25" s="30">
        <v>65043</v>
      </c>
      <c r="P25" s="30">
        <v>9903</v>
      </c>
      <c r="Q25" s="30">
        <v>1633</v>
      </c>
      <c r="R25" s="30">
        <v>11747</v>
      </c>
      <c r="S25" s="44">
        <f t="shared" si="0"/>
        <v>827985</v>
      </c>
      <c r="T25" s="15">
        <f t="shared" si="1"/>
        <v>6.8403847439142389</v>
      </c>
      <c r="U25" s="21"/>
    </row>
    <row r="26" spans="1:21">
      <c r="A26" s="16" t="s">
        <v>34</v>
      </c>
      <c r="B26" s="17">
        <f t="shared" ref="B26:R26" si="6">+B25+B24</f>
        <v>24090</v>
      </c>
      <c r="C26" s="17">
        <f t="shared" si="6"/>
        <v>60578</v>
      </c>
      <c r="D26" s="17">
        <f t="shared" si="6"/>
        <v>14155</v>
      </c>
      <c r="E26" s="17">
        <f t="shared" si="6"/>
        <v>3089</v>
      </c>
      <c r="F26" s="17">
        <f t="shared" si="6"/>
        <v>456406</v>
      </c>
      <c r="G26" s="17">
        <f t="shared" si="6"/>
        <v>154229</v>
      </c>
      <c r="H26" s="17">
        <f t="shared" si="6"/>
        <v>3004</v>
      </c>
      <c r="I26" s="17">
        <f t="shared" si="6"/>
        <v>7576</v>
      </c>
      <c r="J26" s="17">
        <f t="shared" si="6"/>
        <v>119651</v>
      </c>
      <c r="K26" s="17">
        <f t="shared" si="6"/>
        <v>5872</v>
      </c>
      <c r="L26" s="17">
        <f t="shared" si="6"/>
        <v>34883</v>
      </c>
      <c r="M26" s="17">
        <f t="shared" si="6"/>
        <v>19752</v>
      </c>
      <c r="N26" s="17">
        <f t="shared" si="6"/>
        <v>90196</v>
      </c>
      <c r="O26" s="17">
        <f t="shared" si="6"/>
        <v>101528</v>
      </c>
      <c r="P26" s="17">
        <f t="shared" si="6"/>
        <v>14681</v>
      </c>
      <c r="Q26" s="17">
        <f t="shared" si="6"/>
        <v>1786</v>
      </c>
      <c r="R26" s="17">
        <f t="shared" si="6"/>
        <v>16531</v>
      </c>
      <c r="S26" s="44">
        <f t="shared" si="0"/>
        <v>1128007</v>
      </c>
      <c r="T26" s="18">
        <f t="shared" si="1"/>
        <v>9.3190116654631066</v>
      </c>
      <c r="U26" s="6"/>
    </row>
    <row r="27" spans="1:21">
      <c r="A27" s="14" t="s">
        <v>35</v>
      </c>
      <c r="B27" s="30"/>
      <c r="C27" s="30"/>
      <c r="D27" s="30"/>
      <c r="E27" s="30"/>
      <c r="F27" s="30">
        <v>1</v>
      </c>
      <c r="G27" s="30"/>
      <c r="H27" s="30">
        <v>2</v>
      </c>
      <c r="I27" s="30"/>
      <c r="J27" s="30">
        <v>3</v>
      </c>
      <c r="K27" s="30"/>
      <c r="L27" s="30">
        <v>2</v>
      </c>
      <c r="M27" s="31"/>
      <c r="N27" s="30"/>
      <c r="O27" s="30">
        <v>1</v>
      </c>
      <c r="P27" s="30"/>
      <c r="Q27" s="30"/>
      <c r="R27" s="30"/>
      <c r="S27" s="44">
        <f t="shared" si="0"/>
        <v>9</v>
      </c>
      <c r="T27" s="15">
        <f t="shared" si="1"/>
        <v>7.4353355067094404E-5</v>
      </c>
      <c r="U27" s="6"/>
    </row>
    <row r="28" spans="1:21">
      <c r="A28" s="14" t="s">
        <v>36</v>
      </c>
      <c r="B28" s="30">
        <v>1748</v>
      </c>
      <c r="C28" s="30">
        <v>2735</v>
      </c>
      <c r="D28" s="30">
        <v>2015</v>
      </c>
      <c r="E28" s="30">
        <v>2933</v>
      </c>
      <c r="F28" s="30">
        <v>7091</v>
      </c>
      <c r="G28" s="30">
        <v>22498</v>
      </c>
      <c r="H28" s="30">
        <v>592</v>
      </c>
      <c r="I28" s="30">
        <v>1365</v>
      </c>
      <c r="J28" s="30">
        <v>4392</v>
      </c>
      <c r="K28" s="30">
        <v>453</v>
      </c>
      <c r="L28" s="30">
        <v>1500</v>
      </c>
      <c r="M28" s="31">
        <v>1800</v>
      </c>
      <c r="N28" s="30">
        <v>53544</v>
      </c>
      <c r="O28" s="30">
        <v>7472</v>
      </c>
      <c r="P28" s="30">
        <v>3442</v>
      </c>
      <c r="Q28" s="30">
        <v>2127</v>
      </c>
      <c r="R28" s="30">
        <v>4501</v>
      </c>
      <c r="S28" s="44">
        <f t="shared" si="0"/>
        <v>120208</v>
      </c>
      <c r="T28" s="15">
        <f t="shared" si="1"/>
        <v>0.99309645621169818</v>
      </c>
      <c r="U28" s="6"/>
    </row>
    <row r="29" spans="1:21">
      <c r="A29" s="14" t="s">
        <v>38</v>
      </c>
      <c r="B29" s="30">
        <v>9381</v>
      </c>
      <c r="C29" s="30">
        <v>4482</v>
      </c>
      <c r="D29" s="30">
        <v>3978</v>
      </c>
      <c r="E29" s="30">
        <v>1727</v>
      </c>
      <c r="F29" s="30">
        <v>6062</v>
      </c>
      <c r="G29" s="30">
        <v>52491</v>
      </c>
      <c r="H29" s="30">
        <v>25</v>
      </c>
      <c r="I29" s="30">
        <v>1792</v>
      </c>
      <c r="J29" s="30">
        <v>5462</v>
      </c>
      <c r="K29" s="30">
        <v>359</v>
      </c>
      <c r="L29" s="30">
        <v>5500</v>
      </c>
      <c r="M29" s="31">
        <v>1092</v>
      </c>
      <c r="N29" s="30">
        <v>37784</v>
      </c>
      <c r="O29" s="30">
        <v>9921</v>
      </c>
      <c r="P29" s="30">
        <v>4442</v>
      </c>
      <c r="Q29" s="30">
        <v>6119</v>
      </c>
      <c r="R29" s="30">
        <v>7591</v>
      </c>
      <c r="S29" s="44">
        <f t="shared" si="0"/>
        <v>158208</v>
      </c>
      <c r="T29" s="15">
        <f t="shared" si="1"/>
        <v>1.3070328442727634</v>
      </c>
      <c r="U29" s="6"/>
    </row>
    <row r="30" spans="1:21">
      <c r="A30" s="14" t="s">
        <v>39</v>
      </c>
      <c r="B30" s="30">
        <v>3487</v>
      </c>
      <c r="C30" s="30">
        <v>2239</v>
      </c>
      <c r="D30" s="30">
        <v>2264</v>
      </c>
      <c r="E30" s="30">
        <v>1577</v>
      </c>
      <c r="F30" s="30">
        <v>3496</v>
      </c>
      <c r="G30" s="30">
        <v>24131</v>
      </c>
      <c r="H30" s="30">
        <v>283</v>
      </c>
      <c r="I30" s="30">
        <v>593</v>
      </c>
      <c r="J30" s="30">
        <v>3496</v>
      </c>
      <c r="K30" s="30">
        <v>123</v>
      </c>
      <c r="L30" s="30">
        <v>12044</v>
      </c>
      <c r="M30" s="31">
        <v>1604</v>
      </c>
      <c r="N30" s="30">
        <v>15805</v>
      </c>
      <c r="O30" s="30">
        <v>5565</v>
      </c>
      <c r="P30" s="30">
        <v>5126</v>
      </c>
      <c r="Q30" s="30">
        <v>5238</v>
      </c>
      <c r="R30" s="30">
        <v>3565</v>
      </c>
      <c r="S30" s="44">
        <f t="shared" si="0"/>
        <v>90636</v>
      </c>
      <c r="T30" s="15">
        <f t="shared" si="1"/>
        <v>0.74878785442901863</v>
      </c>
      <c r="U30" s="6"/>
    </row>
    <row r="31" spans="1:21">
      <c r="A31" s="14" t="s">
        <v>40</v>
      </c>
      <c r="B31" s="30">
        <v>6334</v>
      </c>
      <c r="C31" s="30">
        <f>48+15446</f>
        <v>15494</v>
      </c>
      <c r="D31" s="30">
        <v>7754</v>
      </c>
      <c r="E31" s="30">
        <v>6425</v>
      </c>
      <c r="F31" s="30">
        <v>68741</v>
      </c>
      <c r="G31" s="30">
        <f>1015+62536</f>
        <v>63551</v>
      </c>
      <c r="H31" s="30">
        <v>5893</v>
      </c>
      <c r="I31" s="30">
        <v>7032</v>
      </c>
      <c r="J31" s="30">
        <v>48614</v>
      </c>
      <c r="K31" s="30">
        <f>170+1168</f>
        <v>1338</v>
      </c>
      <c r="L31" s="30">
        <f>29+10825</f>
        <v>10854</v>
      </c>
      <c r="M31" s="31">
        <v>7403</v>
      </c>
      <c r="N31" s="30">
        <f>746+138338</f>
        <v>139084</v>
      </c>
      <c r="O31" s="30">
        <f>466+39858</f>
        <v>40324</v>
      </c>
      <c r="P31" s="30">
        <v>8022</v>
      </c>
      <c r="Q31" s="30">
        <v>9192</v>
      </c>
      <c r="R31" s="30">
        <f>118+7166</f>
        <v>7284</v>
      </c>
      <c r="S31" s="44">
        <f t="shared" si="0"/>
        <v>453339</v>
      </c>
      <c r="T31" s="15">
        <f t="shared" si="1"/>
        <v>3.7452528480846117</v>
      </c>
      <c r="U31" s="6"/>
    </row>
    <row r="32" spans="1:21">
      <c r="A32" s="14" t="s">
        <v>41</v>
      </c>
      <c r="B32" s="30">
        <v>743</v>
      </c>
      <c r="C32" s="30">
        <v>532</v>
      </c>
      <c r="D32" s="30">
        <v>151</v>
      </c>
      <c r="E32" s="30">
        <v>1002</v>
      </c>
      <c r="F32" s="30">
        <v>731</v>
      </c>
      <c r="G32" s="30">
        <v>6218</v>
      </c>
      <c r="H32" s="30">
        <v>67</v>
      </c>
      <c r="I32" s="30">
        <v>157</v>
      </c>
      <c r="J32" s="30">
        <v>2651</v>
      </c>
      <c r="K32" s="30">
        <v>68</v>
      </c>
      <c r="L32" s="30">
        <v>642</v>
      </c>
      <c r="M32" s="31"/>
      <c r="N32" s="30">
        <v>2793</v>
      </c>
      <c r="O32" s="30">
        <v>1305</v>
      </c>
      <c r="P32" s="30">
        <v>4285</v>
      </c>
      <c r="Q32" s="30">
        <v>2478</v>
      </c>
      <c r="R32" s="30">
        <v>6277</v>
      </c>
      <c r="S32" s="44">
        <f t="shared" si="0"/>
        <v>30100</v>
      </c>
      <c r="T32" s="15">
        <f t="shared" si="1"/>
        <v>0.24867066527994908</v>
      </c>
      <c r="U32" s="6"/>
    </row>
    <row r="33" spans="1:21">
      <c r="A33" s="14" t="s">
        <v>42</v>
      </c>
      <c r="B33" s="30">
        <v>4485</v>
      </c>
      <c r="C33" s="30">
        <v>6027</v>
      </c>
      <c r="D33" s="30">
        <v>5958</v>
      </c>
      <c r="E33" s="30">
        <v>648</v>
      </c>
      <c r="F33" s="30">
        <v>15835</v>
      </c>
      <c r="G33" s="30">
        <v>27835</v>
      </c>
      <c r="H33" s="30">
        <v>3347</v>
      </c>
      <c r="I33" s="30">
        <v>653</v>
      </c>
      <c r="J33" s="30">
        <v>15949</v>
      </c>
      <c r="K33" s="30">
        <v>529</v>
      </c>
      <c r="L33" s="30">
        <v>8521</v>
      </c>
      <c r="M33" s="31">
        <v>25</v>
      </c>
      <c r="N33" s="30">
        <v>37395</v>
      </c>
      <c r="O33" s="30">
        <v>2400</v>
      </c>
      <c r="P33" s="30">
        <v>2440</v>
      </c>
      <c r="Q33" s="30">
        <v>2848</v>
      </c>
      <c r="R33" s="30">
        <v>8515</v>
      </c>
      <c r="S33" s="44">
        <f t="shared" si="0"/>
        <v>143410</v>
      </c>
      <c r="T33" s="15">
        <f t="shared" si="1"/>
        <v>1.1847794055746677</v>
      </c>
      <c r="U33" s="6"/>
    </row>
    <row r="34" spans="1:21">
      <c r="A34" s="14" t="s">
        <v>43</v>
      </c>
      <c r="B34" s="30">
        <v>7042</v>
      </c>
      <c r="C34" s="30">
        <v>18480</v>
      </c>
      <c r="D34" s="30">
        <v>13181</v>
      </c>
      <c r="E34" s="30">
        <v>12553</v>
      </c>
      <c r="F34" s="30">
        <v>70260</v>
      </c>
      <c r="G34" s="30">
        <v>70267</v>
      </c>
      <c r="H34" s="30">
        <v>8020</v>
      </c>
      <c r="I34" s="30">
        <v>10275</v>
      </c>
      <c r="J34" s="30">
        <v>60898</v>
      </c>
      <c r="K34" s="30">
        <v>915</v>
      </c>
      <c r="L34" s="30">
        <v>20448</v>
      </c>
      <c r="M34" s="31">
        <v>6567</v>
      </c>
      <c r="N34" s="30">
        <v>94012</v>
      </c>
      <c r="O34" s="30">
        <v>41242</v>
      </c>
      <c r="P34" s="30">
        <v>19338</v>
      </c>
      <c r="Q34" s="30">
        <v>16000</v>
      </c>
      <c r="R34" s="30">
        <v>11275</v>
      </c>
      <c r="S34" s="44">
        <f t="shared" si="0"/>
        <v>480773</v>
      </c>
      <c r="T34" s="15">
        <f t="shared" si="1"/>
        <v>3.9718983972969086</v>
      </c>
      <c r="U34" s="6"/>
    </row>
    <row r="35" spans="1:21">
      <c r="A35" s="14" t="s">
        <v>37</v>
      </c>
      <c r="B35" s="30">
        <v>273</v>
      </c>
      <c r="C35" s="30">
        <v>1271</v>
      </c>
      <c r="D35" s="30">
        <v>1</v>
      </c>
      <c r="E35" s="30">
        <v>196</v>
      </c>
      <c r="F35" s="30"/>
      <c r="G35" s="30">
        <v>1328</v>
      </c>
      <c r="H35" s="30">
        <v>60</v>
      </c>
      <c r="I35" s="30">
        <v>353</v>
      </c>
      <c r="J35" s="30">
        <v>1999</v>
      </c>
      <c r="K35" s="30">
        <v>92</v>
      </c>
      <c r="L35" s="30">
        <v>1849</v>
      </c>
      <c r="M35" s="31">
        <v>295</v>
      </c>
      <c r="N35" s="30">
        <v>11572</v>
      </c>
      <c r="O35" s="30">
        <v>3322</v>
      </c>
      <c r="P35" s="30">
        <v>1025</v>
      </c>
      <c r="Q35" s="30">
        <v>792</v>
      </c>
      <c r="R35" s="30">
        <v>853</v>
      </c>
      <c r="S35" s="44">
        <f>SUM(B35:R35)</f>
        <v>25281</v>
      </c>
      <c r="T35" s="15">
        <f t="shared" si="1"/>
        <v>0.20885857438346817</v>
      </c>
      <c r="U35" s="6"/>
    </row>
    <row r="36" spans="1:21">
      <c r="A36" s="16" t="s">
        <v>44</v>
      </c>
      <c r="B36" s="17">
        <f>SUM(B27:B35)</f>
        <v>33493</v>
      </c>
      <c r="C36" s="17">
        <f t="shared" ref="C36:R36" si="7">SUM(C27:C35)</f>
        <v>51260</v>
      </c>
      <c r="D36" s="17">
        <f t="shared" si="7"/>
        <v>35302</v>
      </c>
      <c r="E36" s="17">
        <f t="shared" si="7"/>
        <v>27061</v>
      </c>
      <c r="F36" s="17">
        <f t="shared" si="7"/>
        <v>172217</v>
      </c>
      <c r="G36" s="17">
        <f t="shared" si="7"/>
        <v>268319</v>
      </c>
      <c r="H36" s="17">
        <f t="shared" si="7"/>
        <v>18289</v>
      </c>
      <c r="I36" s="17">
        <f t="shared" si="7"/>
        <v>22220</v>
      </c>
      <c r="J36" s="17">
        <f t="shared" si="7"/>
        <v>143464</v>
      </c>
      <c r="K36" s="17">
        <f t="shared" si="7"/>
        <v>3877</v>
      </c>
      <c r="L36" s="17">
        <f t="shared" si="7"/>
        <v>61360</v>
      </c>
      <c r="M36" s="17">
        <f t="shared" si="7"/>
        <v>18786</v>
      </c>
      <c r="N36" s="17">
        <f t="shared" si="7"/>
        <v>391989</v>
      </c>
      <c r="O36" s="17">
        <f t="shared" si="7"/>
        <v>111552</v>
      </c>
      <c r="P36" s="17">
        <f t="shared" si="7"/>
        <v>48120</v>
      </c>
      <c r="Q36" s="17">
        <f t="shared" si="7"/>
        <v>44794</v>
      </c>
      <c r="R36" s="17">
        <f t="shared" si="7"/>
        <v>49861</v>
      </c>
      <c r="S36" s="44">
        <f>SUM(B36:R36)</f>
        <v>1501964</v>
      </c>
      <c r="T36" s="18">
        <f t="shared" si="1"/>
        <v>12.408451398888152</v>
      </c>
      <c r="U36" s="9"/>
    </row>
    <row r="37" spans="1:21">
      <c r="A37" s="14" t="s">
        <v>45</v>
      </c>
      <c r="B37" s="30">
        <v>1216</v>
      </c>
      <c r="C37" s="30">
        <v>2228</v>
      </c>
      <c r="D37" s="30">
        <v>171</v>
      </c>
      <c r="E37" s="30">
        <v>45</v>
      </c>
      <c r="F37" s="30">
        <v>7608</v>
      </c>
      <c r="G37" s="30">
        <v>3391</v>
      </c>
      <c r="H37" s="30">
        <v>695</v>
      </c>
      <c r="I37" s="30">
        <v>36</v>
      </c>
      <c r="J37" s="30">
        <v>28327</v>
      </c>
      <c r="K37" s="30">
        <v>388</v>
      </c>
      <c r="L37" s="33">
        <v>1589</v>
      </c>
      <c r="M37" s="31">
        <v>743</v>
      </c>
      <c r="N37" s="34">
        <v>5523</v>
      </c>
      <c r="O37" s="30">
        <v>3068</v>
      </c>
      <c r="P37" s="30">
        <v>175</v>
      </c>
      <c r="Q37" s="30">
        <v>84</v>
      </c>
      <c r="R37" s="30">
        <v>2104</v>
      </c>
      <c r="S37" s="44">
        <f t="shared" si="0"/>
        <v>57391</v>
      </c>
      <c r="T37" s="15">
        <f t="shared" ref="T37:T65" si="8">S37/S$65*100</f>
        <v>0.47413482229506831</v>
      </c>
      <c r="U37" s="6"/>
    </row>
    <row r="38" spans="1:21">
      <c r="A38" s="14" t="s">
        <v>46</v>
      </c>
      <c r="B38" s="30">
        <v>46</v>
      </c>
      <c r="C38" s="30">
        <v>68</v>
      </c>
      <c r="D38" s="30">
        <v>2</v>
      </c>
      <c r="E38" s="30"/>
      <c r="F38" s="30"/>
      <c r="G38" s="30">
        <v>652</v>
      </c>
      <c r="H38" s="30"/>
      <c r="I38" s="30"/>
      <c r="J38" s="30">
        <v>227</v>
      </c>
      <c r="K38" s="30">
        <v>39</v>
      </c>
      <c r="L38" s="35">
        <v>26</v>
      </c>
      <c r="M38" s="31">
        <v>15</v>
      </c>
      <c r="N38" s="30"/>
      <c r="O38" s="30">
        <v>46</v>
      </c>
      <c r="P38" s="30"/>
      <c r="Q38" s="30">
        <v>2</v>
      </c>
      <c r="R38" s="30"/>
      <c r="S38" s="44">
        <f t="shared" si="0"/>
        <v>1123</v>
      </c>
      <c r="T38" s="15">
        <f t="shared" si="8"/>
        <v>9.2776464155941117E-3</v>
      </c>
      <c r="U38" s="6"/>
    </row>
    <row r="39" spans="1:21">
      <c r="A39" s="14" t="s">
        <v>47</v>
      </c>
      <c r="B39" s="30">
        <v>9824</v>
      </c>
      <c r="C39" s="30">
        <v>13368</v>
      </c>
      <c r="D39" s="30">
        <v>3931</v>
      </c>
      <c r="E39" s="30">
        <v>175</v>
      </c>
      <c r="F39" s="30">
        <v>45737</v>
      </c>
      <c r="G39" s="30">
        <v>68103</v>
      </c>
      <c r="H39" s="30">
        <f>37+4005</f>
        <v>4042</v>
      </c>
      <c r="I39" s="30">
        <v>600</v>
      </c>
      <c r="J39" s="30">
        <v>281767</v>
      </c>
      <c r="K39" s="30">
        <v>1208</v>
      </c>
      <c r="L39" s="33">
        <v>14423</v>
      </c>
      <c r="M39" s="31">
        <v>5994</v>
      </c>
      <c r="N39" s="32">
        <f>1642+67162</f>
        <v>68804</v>
      </c>
      <c r="O39" s="30">
        <v>29357</v>
      </c>
      <c r="P39" s="30">
        <v>6166</v>
      </c>
      <c r="Q39" s="30">
        <v>381</v>
      </c>
      <c r="R39" s="30">
        <v>9029</v>
      </c>
      <c r="S39" s="44">
        <f t="shared" si="0"/>
        <v>562909</v>
      </c>
      <c r="T39" s="15">
        <f t="shared" si="8"/>
        <v>4.6504636386070048</v>
      </c>
      <c r="U39" s="6"/>
    </row>
    <row r="40" spans="1:21">
      <c r="A40" s="14" t="s">
        <v>48</v>
      </c>
      <c r="B40" s="30">
        <v>573</v>
      </c>
      <c r="C40" s="30">
        <v>779</v>
      </c>
      <c r="D40" s="30"/>
      <c r="E40" s="30"/>
      <c r="F40" s="30">
        <v>6105</v>
      </c>
      <c r="G40" s="30">
        <v>1262</v>
      </c>
      <c r="H40" s="30">
        <v>516</v>
      </c>
      <c r="I40" s="30"/>
      <c r="J40" s="30">
        <v>55485</v>
      </c>
      <c r="K40" s="30">
        <v>90</v>
      </c>
      <c r="L40" s="36">
        <v>367</v>
      </c>
      <c r="M40" s="37">
        <v>480</v>
      </c>
      <c r="N40" s="30"/>
      <c r="O40" s="30">
        <v>2093</v>
      </c>
      <c r="P40" s="36">
        <v>315</v>
      </c>
      <c r="Q40" s="30"/>
      <c r="R40" s="30">
        <v>795</v>
      </c>
      <c r="S40" s="44">
        <f t="shared" si="0"/>
        <v>68860</v>
      </c>
      <c r="T40" s="15">
        <f t="shared" si="8"/>
        <v>0.56888578110223564</v>
      </c>
      <c r="U40" s="6"/>
    </row>
    <row r="41" spans="1:21">
      <c r="A41" s="14" t="s">
        <v>49</v>
      </c>
      <c r="B41" s="30">
        <v>115</v>
      </c>
      <c r="C41" s="30">
        <v>326</v>
      </c>
      <c r="D41" s="30">
        <v>7</v>
      </c>
      <c r="E41" s="30">
        <v>4</v>
      </c>
      <c r="F41" s="30"/>
      <c r="G41" s="30">
        <v>1103</v>
      </c>
      <c r="H41" s="30">
        <v>1</v>
      </c>
      <c r="I41" s="30">
        <v>6</v>
      </c>
      <c r="J41" s="30">
        <v>1237</v>
      </c>
      <c r="K41" s="30">
        <v>92</v>
      </c>
      <c r="L41" s="33">
        <v>125</v>
      </c>
      <c r="M41" s="31">
        <v>13</v>
      </c>
      <c r="N41" s="30">
        <v>1194</v>
      </c>
      <c r="O41" s="30">
        <v>154</v>
      </c>
      <c r="P41" s="30"/>
      <c r="Q41" s="30">
        <v>19</v>
      </c>
      <c r="R41" s="30">
        <v>731</v>
      </c>
      <c r="S41" s="44">
        <f t="shared" si="0"/>
        <v>5127</v>
      </c>
      <c r="T41" s="15">
        <f t="shared" si="8"/>
        <v>4.2356627936554779E-2</v>
      </c>
      <c r="U41" s="6"/>
    </row>
    <row r="42" spans="1:21">
      <c r="A42" s="14" t="s">
        <v>50</v>
      </c>
      <c r="B42" s="30">
        <v>1310</v>
      </c>
      <c r="C42" s="30">
        <v>1085</v>
      </c>
      <c r="D42" s="30">
        <v>15</v>
      </c>
      <c r="E42" s="30">
        <v>87</v>
      </c>
      <c r="F42" s="30">
        <v>2783</v>
      </c>
      <c r="G42" s="30">
        <f>238+13+10268</f>
        <v>10519</v>
      </c>
      <c r="H42" s="30">
        <v>47</v>
      </c>
      <c r="I42" s="30">
        <v>23</v>
      </c>
      <c r="J42" s="30">
        <v>11344</v>
      </c>
      <c r="K42" s="30">
        <f>6+333</f>
        <v>339</v>
      </c>
      <c r="L42" s="30">
        <f>2+2+326</f>
        <v>330</v>
      </c>
      <c r="M42" s="31">
        <f>3+18</f>
        <v>21</v>
      </c>
      <c r="N42" s="30">
        <f>1982+3909</f>
        <v>5891</v>
      </c>
      <c r="O42" s="30">
        <f>1699+1</f>
        <v>1700</v>
      </c>
      <c r="P42" s="30">
        <f>57+759</f>
        <v>816</v>
      </c>
      <c r="Q42" s="30">
        <v>208</v>
      </c>
      <c r="R42" s="30">
        <v>3274</v>
      </c>
      <c r="S42" s="44">
        <f t="shared" si="0"/>
        <v>39792</v>
      </c>
      <c r="T42" s="15">
        <f t="shared" si="8"/>
        <v>0.32874096720331336</v>
      </c>
      <c r="U42" s="6"/>
    </row>
    <row r="43" spans="1:21">
      <c r="A43" s="16" t="s">
        <v>51</v>
      </c>
      <c r="B43" s="17">
        <f t="shared" ref="B43:S43" si="9">SUM(B37:B42)</f>
        <v>13084</v>
      </c>
      <c r="C43" s="17">
        <f t="shared" si="9"/>
        <v>17854</v>
      </c>
      <c r="D43" s="17">
        <f t="shared" si="9"/>
        <v>4126</v>
      </c>
      <c r="E43" s="17">
        <f t="shared" si="9"/>
        <v>311</v>
      </c>
      <c r="F43" s="17">
        <f t="shared" si="9"/>
        <v>62233</v>
      </c>
      <c r="G43" s="17">
        <f t="shared" si="9"/>
        <v>85030</v>
      </c>
      <c r="H43" s="17">
        <f t="shared" si="9"/>
        <v>5301</v>
      </c>
      <c r="I43" s="17">
        <f t="shared" si="9"/>
        <v>665</v>
      </c>
      <c r="J43" s="17">
        <f t="shared" si="9"/>
        <v>378387</v>
      </c>
      <c r="K43" s="17">
        <f t="shared" si="9"/>
        <v>2156</v>
      </c>
      <c r="L43" s="17">
        <f t="shared" si="9"/>
        <v>16860</v>
      </c>
      <c r="M43" s="17">
        <f t="shared" si="9"/>
        <v>7266</v>
      </c>
      <c r="N43" s="17">
        <f t="shared" si="9"/>
        <v>81412</v>
      </c>
      <c r="O43" s="17">
        <f t="shared" si="9"/>
        <v>36418</v>
      </c>
      <c r="P43" s="17">
        <f t="shared" si="9"/>
        <v>7472</v>
      </c>
      <c r="Q43" s="17">
        <f t="shared" si="9"/>
        <v>694</v>
      </c>
      <c r="R43" s="17">
        <f t="shared" si="9"/>
        <v>15933</v>
      </c>
      <c r="S43" s="44">
        <f t="shared" si="9"/>
        <v>735202</v>
      </c>
      <c r="T43" s="18">
        <f t="shared" si="8"/>
        <v>6.0738594835597706</v>
      </c>
      <c r="U43" s="9"/>
    </row>
    <row r="44" spans="1:21">
      <c r="A44" s="14" t="s">
        <v>52</v>
      </c>
      <c r="B44" s="30">
        <v>11685</v>
      </c>
      <c r="C44" s="30">
        <v>25099</v>
      </c>
      <c r="D44" s="30">
        <v>5030</v>
      </c>
      <c r="E44" s="30">
        <v>5516</v>
      </c>
      <c r="F44" s="30">
        <v>49148</v>
      </c>
      <c r="G44" s="30">
        <v>272566</v>
      </c>
      <c r="H44" s="30">
        <v>2809</v>
      </c>
      <c r="I44" s="30">
        <v>2076</v>
      </c>
      <c r="J44" s="30">
        <v>46418</v>
      </c>
      <c r="K44" s="30">
        <f>3598+46</f>
        <v>3644</v>
      </c>
      <c r="L44" s="30">
        <f>51+11797</f>
        <v>11848</v>
      </c>
      <c r="M44" s="31">
        <v>10206</v>
      </c>
      <c r="N44" s="30">
        <v>124419</v>
      </c>
      <c r="O44" s="30">
        <v>30782</v>
      </c>
      <c r="P44" s="30">
        <v>11522</v>
      </c>
      <c r="Q44" s="30">
        <v>6603</v>
      </c>
      <c r="R44" s="30">
        <v>18384</v>
      </c>
      <c r="S44" s="44">
        <f t="shared" ref="S44:S65" si="10">SUM(B44:R44)</f>
        <v>637755</v>
      </c>
      <c r="T44" s="15">
        <f t="shared" si="8"/>
        <v>5.268802662312754</v>
      </c>
      <c r="U44" s="6"/>
    </row>
    <row r="45" spans="1:21">
      <c r="A45" s="14" t="s">
        <v>53</v>
      </c>
      <c r="B45" s="30">
        <v>1217</v>
      </c>
      <c r="C45" s="30">
        <v>673</v>
      </c>
      <c r="D45" s="30">
        <v>248</v>
      </c>
      <c r="E45" s="30">
        <v>27</v>
      </c>
      <c r="F45" s="30">
        <v>4149</v>
      </c>
      <c r="G45" s="30">
        <v>22408</v>
      </c>
      <c r="H45" s="30">
        <v>246</v>
      </c>
      <c r="I45" s="30">
        <v>1</v>
      </c>
      <c r="J45" s="30">
        <v>15869</v>
      </c>
      <c r="K45" s="30">
        <v>139</v>
      </c>
      <c r="L45" s="30">
        <v>463</v>
      </c>
      <c r="M45" s="31">
        <v>1430</v>
      </c>
      <c r="N45" s="30">
        <v>4342</v>
      </c>
      <c r="O45" s="30">
        <v>2493</v>
      </c>
      <c r="P45" s="30">
        <v>122</v>
      </c>
      <c r="Q45" s="30">
        <v>10</v>
      </c>
      <c r="R45" s="30">
        <v>1681</v>
      </c>
      <c r="S45" s="44">
        <f t="shared" si="10"/>
        <v>55518</v>
      </c>
      <c r="T45" s="15">
        <f t="shared" si="8"/>
        <v>0.45866106295721631</v>
      </c>
      <c r="U45" s="6"/>
    </row>
    <row r="46" spans="1:21">
      <c r="A46" s="16" t="s">
        <v>54</v>
      </c>
      <c r="B46" s="17">
        <f t="shared" ref="B46:J46" si="11">+B45+B44</f>
        <v>12902</v>
      </c>
      <c r="C46" s="17">
        <f t="shared" si="11"/>
        <v>25772</v>
      </c>
      <c r="D46" s="17">
        <f t="shared" si="11"/>
        <v>5278</v>
      </c>
      <c r="E46" s="17">
        <f t="shared" si="11"/>
        <v>5543</v>
      </c>
      <c r="F46" s="17">
        <f t="shared" si="11"/>
        <v>53297</v>
      </c>
      <c r="G46" s="17">
        <f t="shared" si="11"/>
        <v>294974</v>
      </c>
      <c r="H46" s="17">
        <f t="shared" si="11"/>
        <v>3055</v>
      </c>
      <c r="I46" s="17">
        <f t="shared" si="11"/>
        <v>2077</v>
      </c>
      <c r="J46" s="17">
        <f t="shared" si="11"/>
        <v>62287</v>
      </c>
      <c r="K46" s="17">
        <f>SUM(K44:K45)</f>
        <v>3783</v>
      </c>
      <c r="L46" s="17">
        <f t="shared" ref="L46:R46" si="12">+L45+L44</f>
        <v>12311</v>
      </c>
      <c r="M46" s="17">
        <f t="shared" si="12"/>
        <v>11636</v>
      </c>
      <c r="N46" s="17">
        <f t="shared" si="12"/>
        <v>128761</v>
      </c>
      <c r="O46" s="17">
        <f t="shared" si="12"/>
        <v>33275</v>
      </c>
      <c r="P46" s="17">
        <f t="shared" si="12"/>
        <v>11644</v>
      </c>
      <c r="Q46" s="17">
        <f t="shared" si="12"/>
        <v>6613</v>
      </c>
      <c r="R46" s="17">
        <f t="shared" si="12"/>
        <v>20065</v>
      </c>
      <c r="S46" s="44">
        <f t="shared" si="10"/>
        <v>693273</v>
      </c>
      <c r="T46" s="18">
        <f t="shared" si="8"/>
        <v>5.7274637252699714</v>
      </c>
      <c r="U46" s="9"/>
    </row>
    <row r="47" spans="1:21">
      <c r="A47" s="14" t="s">
        <v>55</v>
      </c>
      <c r="B47" s="30">
        <v>15757</v>
      </c>
      <c r="C47" s="30">
        <v>32012</v>
      </c>
      <c r="D47" s="30">
        <v>4657</v>
      </c>
      <c r="E47" s="30">
        <v>5024</v>
      </c>
      <c r="F47" s="30">
        <v>47682</v>
      </c>
      <c r="G47" s="30">
        <v>238253</v>
      </c>
      <c r="H47" s="30">
        <v>2529</v>
      </c>
      <c r="I47" s="30">
        <v>4020</v>
      </c>
      <c r="J47" s="30">
        <v>43615</v>
      </c>
      <c r="K47" s="30">
        <v>4796</v>
      </c>
      <c r="L47" s="30">
        <v>15473</v>
      </c>
      <c r="M47" s="31">
        <v>10617</v>
      </c>
      <c r="N47" s="30">
        <v>148878</v>
      </c>
      <c r="O47" s="30">
        <v>30157</v>
      </c>
      <c r="P47" s="30">
        <v>18125</v>
      </c>
      <c r="Q47" s="30">
        <v>9602</v>
      </c>
      <c r="R47" s="33">
        <f>21057+87</f>
        <v>21144</v>
      </c>
      <c r="S47" s="44">
        <f t="shared" si="10"/>
        <v>652341</v>
      </c>
      <c r="T47" s="15">
        <f t="shared" si="8"/>
        <v>5.3893046664248256</v>
      </c>
      <c r="U47" s="6"/>
    </row>
    <row r="48" spans="1:21">
      <c r="A48" s="14" t="s">
        <v>56</v>
      </c>
      <c r="B48" s="30">
        <v>2116</v>
      </c>
      <c r="C48" s="30">
        <v>4997</v>
      </c>
      <c r="D48" s="30"/>
      <c r="E48" s="30">
        <v>187</v>
      </c>
      <c r="F48" s="30">
        <v>18277</v>
      </c>
      <c r="G48" s="30">
        <v>33183</v>
      </c>
      <c r="H48" s="30">
        <v>1044</v>
      </c>
      <c r="I48" s="30">
        <v>486</v>
      </c>
      <c r="J48" s="30">
        <v>19152</v>
      </c>
      <c r="K48" s="30">
        <v>769</v>
      </c>
      <c r="L48" s="30">
        <v>3674</v>
      </c>
      <c r="M48" s="31">
        <v>1550</v>
      </c>
      <c r="N48" s="30">
        <v>53661</v>
      </c>
      <c r="O48" s="30">
        <v>8205</v>
      </c>
      <c r="P48" s="30">
        <v>1646</v>
      </c>
      <c r="Q48" s="30">
        <v>940</v>
      </c>
      <c r="R48" s="33">
        <v>4463</v>
      </c>
      <c r="S48" s="44">
        <f t="shared" si="10"/>
        <v>154350</v>
      </c>
      <c r="T48" s="15">
        <f t="shared" si="8"/>
        <v>1.275160039400669</v>
      </c>
      <c r="U48" s="6"/>
    </row>
    <row r="49" spans="1:21">
      <c r="A49" s="16" t="s">
        <v>57</v>
      </c>
      <c r="B49" s="17">
        <f t="shared" ref="B49:R49" si="13">+B48+B47</f>
        <v>17873</v>
      </c>
      <c r="C49" s="17">
        <f t="shared" si="13"/>
        <v>37009</v>
      </c>
      <c r="D49" s="17">
        <f t="shared" si="13"/>
        <v>4657</v>
      </c>
      <c r="E49" s="17">
        <f t="shared" si="13"/>
        <v>5211</v>
      </c>
      <c r="F49" s="17">
        <f t="shared" si="13"/>
        <v>65959</v>
      </c>
      <c r="G49" s="17">
        <f t="shared" si="13"/>
        <v>271436</v>
      </c>
      <c r="H49" s="17">
        <f t="shared" si="13"/>
        <v>3573</v>
      </c>
      <c r="I49" s="17">
        <f t="shared" si="13"/>
        <v>4506</v>
      </c>
      <c r="J49" s="17">
        <f t="shared" si="13"/>
        <v>62767</v>
      </c>
      <c r="K49" s="17">
        <f t="shared" si="13"/>
        <v>5565</v>
      </c>
      <c r="L49" s="17">
        <f t="shared" si="13"/>
        <v>19147</v>
      </c>
      <c r="M49" s="17">
        <f t="shared" si="13"/>
        <v>12167</v>
      </c>
      <c r="N49" s="17">
        <f t="shared" si="13"/>
        <v>202539</v>
      </c>
      <c r="O49" s="17">
        <f t="shared" si="13"/>
        <v>38362</v>
      </c>
      <c r="P49" s="17">
        <f t="shared" si="13"/>
        <v>19771</v>
      </c>
      <c r="Q49" s="17">
        <f t="shared" si="13"/>
        <v>10542</v>
      </c>
      <c r="R49" s="17">
        <f t="shared" si="13"/>
        <v>25607</v>
      </c>
      <c r="S49" s="44">
        <f t="shared" si="10"/>
        <v>806691</v>
      </c>
      <c r="T49" s="18">
        <f t="shared" si="8"/>
        <v>6.6644647058254947</v>
      </c>
      <c r="U49" s="6"/>
    </row>
    <row r="50" spans="1:21">
      <c r="A50" s="14" t="s">
        <v>58</v>
      </c>
      <c r="B50" s="30">
        <v>19840</v>
      </c>
      <c r="C50" s="30">
        <v>19852</v>
      </c>
      <c r="D50" s="30">
        <v>9220</v>
      </c>
      <c r="E50" s="30">
        <v>2156</v>
      </c>
      <c r="F50" s="30">
        <v>17165</v>
      </c>
      <c r="G50" s="30">
        <v>99820</v>
      </c>
      <c r="H50" s="30">
        <v>3928</v>
      </c>
      <c r="I50" s="30">
        <v>8159</v>
      </c>
      <c r="J50" s="30">
        <v>41778</v>
      </c>
      <c r="K50" s="30">
        <v>1812</v>
      </c>
      <c r="L50" s="30">
        <v>8232</v>
      </c>
      <c r="M50" s="31">
        <v>1101</v>
      </c>
      <c r="N50" s="30">
        <v>81986</v>
      </c>
      <c r="O50" s="30">
        <v>35054</v>
      </c>
      <c r="P50" s="30">
        <v>9948</v>
      </c>
      <c r="Q50" s="30">
        <v>2243</v>
      </c>
      <c r="R50" s="30">
        <v>11001</v>
      </c>
      <c r="S50" s="44">
        <f t="shared" si="10"/>
        <v>373295</v>
      </c>
      <c r="T50" s="15">
        <f t="shared" si="8"/>
        <v>3.0839706310856672</v>
      </c>
      <c r="U50" s="6"/>
    </row>
    <row r="51" spans="1:21">
      <c r="A51" s="14" t="s">
        <v>59</v>
      </c>
      <c r="B51" s="30">
        <v>8518</v>
      </c>
      <c r="C51" s="30">
        <v>12995</v>
      </c>
      <c r="D51" s="30">
        <v>9764</v>
      </c>
      <c r="E51" s="30">
        <v>6026</v>
      </c>
      <c r="F51" s="30">
        <v>28186</v>
      </c>
      <c r="G51" s="30">
        <v>53546</v>
      </c>
      <c r="H51" s="30">
        <v>1233</v>
      </c>
      <c r="I51" s="30">
        <v>4236</v>
      </c>
      <c r="J51" s="30">
        <v>32742</v>
      </c>
      <c r="K51" s="30">
        <v>529</v>
      </c>
      <c r="L51" s="30">
        <v>17290</v>
      </c>
      <c r="M51" s="31">
        <v>2443</v>
      </c>
      <c r="N51" s="30">
        <v>77525</v>
      </c>
      <c r="O51" s="30">
        <v>31452</v>
      </c>
      <c r="P51" s="30">
        <v>16546</v>
      </c>
      <c r="Q51" s="30">
        <v>4409</v>
      </c>
      <c r="R51" s="30">
        <v>4886</v>
      </c>
      <c r="S51" s="44">
        <f t="shared" si="10"/>
        <v>312326</v>
      </c>
      <c r="T51" s="15">
        <f t="shared" si="8"/>
        <v>2.5802762194094808</v>
      </c>
      <c r="U51" s="6"/>
    </row>
    <row r="52" spans="1:21">
      <c r="A52" s="14" t="s">
        <v>60</v>
      </c>
      <c r="B52" s="30">
        <v>41</v>
      </c>
      <c r="C52" s="30">
        <v>619</v>
      </c>
      <c r="D52" s="30"/>
      <c r="E52" s="30">
        <v>2</v>
      </c>
      <c r="F52" s="30">
        <v>344</v>
      </c>
      <c r="G52" s="30">
        <v>1082</v>
      </c>
      <c r="H52" s="30"/>
      <c r="I52" s="30">
        <v>117</v>
      </c>
      <c r="J52" s="30">
        <v>1096</v>
      </c>
      <c r="K52" s="30">
        <v>117</v>
      </c>
      <c r="L52" s="30">
        <v>3</v>
      </c>
      <c r="M52" s="31"/>
      <c r="N52" s="30">
        <v>1542</v>
      </c>
      <c r="O52" s="30">
        <v>2537</v>
      </c>
      <c r="P52" s="30"/>
      <c r="Q52" s="30">
        <v>2</v>
      </c>
      <c r="R52" s="30">
        <v>569</v>
      </c>
      <c r="S52" s="44">
        <f t="shared" si="10"/>
        <v>8071</v>
      </c>
      <c r="T52" s="15">
        <f t="shared" si="8"/>
        <v>6.6678436527390986E-2</v>
      </c>
      <c r="U52" s="6"/>
    </row>
    <row r="53" spans="1:21">
      <c r="A53" s="16" t="s">
        <v>61</v>
      </c>
      <c r="B53" s="17">
        <f t="shared" ref="B53:R53" si="14">SUM(B50:B52)</f>
        <v>28399</v>
      </c>
      <c r="C53" s="17">
        <f t="shared" si="14"/>
        <v>33466</v>
      </c>
      <c r="D53" s="17">
        <f t="shared" si="14"/>
        <v>18984</v>
      </c>
      <c r="E53" s="17">
        <f t="shared" si="14"/>
        <v>8184</v>
      </c>
      <c r="F53" s="17">
        <f t="shared" si="14"/>
        <v>45695</v>
      </c>
      <c r="G53" s="17">
        <f t="shared" si="14"/>
        <v>154448</v>
      </c>
      <c r="H53" s="17">
        <f t="shared" si="14"/>
        <v>5161</v>
      </c>
      <c r="I53" s="17">
        <f t="shared" si="14"/>
        <v>12512</v>
      </c>
      <c r="J53" s="17">
        <f t="shared" si="14"/>
        <v>75616</v>
      </c>
      <c r="K53" s="17">
        <f t="shared" si="14"/>
        <v>2458</v>
      </c>
      <c r="L53" s="17">
        <f t="shared" si="14"/>
        <v>25525</v>
      </c>
      <c r="M53" s="17">
        <f t="shared" si="14"/>
        <v>3544</v>
      </c>
      <c r="N53" s="17">
        <f t="shared" si="14"/>
        <v>161053</v>
      </c>
      <c r="O53" s="17">
        <f t="shared" si="14"/>
        <v>69043</v>
      </c>
      <c r="P53" s="17">
        <f t="shared" si="14"/>
        <v>26494</v>
      </c>
      <c r="Q53" s="17">
        <f t="shared" si="14"/>
        <v>6654</v>
      </c>
      <c r="R53" s="17">
        <f t="shared" si="14"/>
        <v>16456</v>
      </c>
      <c r="S53" s="44">
        <f t="shared" si="10"/>
        <v>693692</v>
      </c>
      <c r="T53" s="18">
        <f t="shared" si="8"/>
        <v>5.7309252870225391</v>
      </c>
      <c r="U53" s="9"/>
    </row>
    <row r="54" spans="1:21">
      <c r="A54" s="20" t="s">
        <v>62</v>
      </c>
      <c r="B54" s="30">
        <v>259</v>
      </c>
      <c r="C54" s="30">
        <v>920</v>
      </c>
      <c r="D54" s="30">
        <v>54</v>
      </c>
      <c r="E54" s="30">
        <v>49</v>
      </c>
      <c r="F54" s="30">
        <v>715</v>
      </c>
      <c r="G54" s="30">
        <v>4229</v>
      </c>
      <c r="H54" s="30">
        <v>2</v>
      </c>
      <c r="I54" s="30">
        <v>190</v>
      </c>
      <c r="J54" s="30">
        <v>1000</v>
      </c>
      <c r="K54" s="30">
        <v>91</v>
      </c>
      <c r="L54" s="30">
        <v>384</v>
      </c>
      <c r="M54" s="31">
        <v>168</v>
      </c>
      <c r="N54" s="30">
        <v>18401</v>
      </c>
      <c r="O54" s="30">
        <v>952</v>
      </c>
      <c r="P54" s="30">
        <v>177</v>
      </c>
      <c r="Q54" s="30">
        <v>49</v>
      </c>
      <c r="R54" s="30">
        <v>622</v>
      </c>
      <c r="S54" s="44">
        <f t="shared" si="10"/>
        <v>28262</v>
      </c>
      <c r="T54" s="22">
        <f t="shared" si="8"/>
        <v>0.2334860578784691</v>
      </c>
      <c r="U54" s="21"/>
    </row>
    <row r="55" spans="1:21">
      <c r="A55" s="14" t="s">
        <v>63</v>
      </c>
      <c r="B55" s="30">
        <v>1864</v>
      </c>
      <c r="C55" s="30">
        <v>4389</v>
      </c>
      <c r="D55" s="30">
        <v>79</v>
      </c>
      <c r="E55" s="30">
        <v>205</v>
      </c>
      <c r="F55" s="30">
        <v>6794</v>
      </c>
      <c r="G55" s="30">
        <v>14679</v>
      </c>
      <c r="H55" s="30">
        <v>28</v>
      </c>
      <c r="I55" s="30">
        <v>532</v>
      </c>
      <c r="J55" s="30">
        <v>12869</v>
      </c>
      <c r="K55" s="30">
        <v>787</v>
      </c>
      <c r="L55" s="30">
        <v>1443</v>
      </c>
      <c r="M55" s="31">
        <v>548</v>
      </c>
      <c r="N55" s="30">
        <v>56200</v>
      </c>
      <c r="O55" s="30">
        <v>7876</v>
      </c>
      <c r="P55" s="30">
        <v>1079</v>
      </c>
      <c r="Q55" s="30">
        <v>578</v>
      </c>
      <c r="R55" s="30">
        <v>3490</v>
      </c>
      <c r="S55" s="44">
        <f t="shared" si="10"/>
        <v>113440</v>
      </c>
      <c r="T55" s="15">
        <f t="shared" si="8"/>
        <v>0.93718273320124323</v>
      </c>
      <c r="U55" s="23"/>
    </row>
    <row r="56" spans="1:21">
      <c r="A56" s="16" t="s">
        <v>64</v>
      </c>
      <c r="B56" s="17">
        <f>+B55+B54</f>
        <v>2123</v>
      </c>
      <c r="C56" s="17">
        <f>SUM(C54:C55)</f>
        <v>5309</v>
      </c>
      <c r="D56" s="17">
        <f>+D55+D54</f>
        <v>133</v>
      </c>
      <c r="E56" s="17">
        <f>+E55+E54</f>
        <v>254</v>
      </c>
      <c r="F56" s="17">
        <f>+F55+F54</f>
        <v>7509</v>
      </c>
      <c r="G56" s="17">
        <f>+G55+G54</f>
        <v>18908</v>
      </c>
      <c r="H56" s="17">
        <f t="shared" ref="H56:N56" si="15">SUM(H54:H55)</f>
        <v>30</v>
      </c>
      <c r="I56" s="17">
        <f t="shared" si="15"/>
        <v>722</v>
      </c>
      <c r="J56" s="17">
        <f t="shared" si="15"/>
        <v>13869</v>
      </c>
      <c r="K56" s="17">
        <f t="shared" si="15"/>
        <v>878</v>
      </c>
      <c r="L56" s="17">
        <f t="shared" si="15"/>
        <v>1827</v>
      </c>
      <c r="M56" s="17">
        <f t="shared" si="15"/>
        <v>716</v>
      </c>
      <c r="N56" s="17">
        <f t="shared" si="15"/>
        <v>74601</v>
      </c>
      <c r="O56" s="17">
        <f>+O55+O54</f>
        <v>8828</v>
      </c>
      <c r="P56" s="17">
        <f>+P55+P54</f>
        <v>1256</v>
      </c>
      <c r="Q56" s="17">
        <f>+Q55+Q54</f>
        <v>627</v>
      </c>
      <c r="R56" s="17">
        <f>SUM(R54:R55)</f>
        <v>4112</v>
      </c>
      <c r="S56" s="44">
        <f t="shared" si="10"/>
        <v>141702</v>
      </c>
      <c r="T56" s="18">
        <f t="shared" si="8"/>
        <v>1.1706687910797124</v>
      </c>
      <c r="U56" s="9"/>
    </row>
    <row r="57" spans="1:21">
      <c r="A57" s="24" t="s">
        <v>65</v>
      </c>
      <c r="B57" s="30">
        <v>45</v>
      </c>
      <c r="C57" s="30"/>
      <c r="D57" s="30"/>
      <c r="E57" s="30"/>
      <c r="F57" s="30">
        <v>9</v>
      </c>
      <c r="G57" s="30">
        <v>1180</v>
      </c>
      <c r="H57" s="30"/>
      <c r="I57" s="30"/>
      <c r="J57" s="30">
        <v>25</v>
      </c>
      <c r="K57" s="30">
        <v>4</v>
      </c>
      <c r="L57" s="30"/>
      <c r="M57" s="31"/>
      <c r="N57" s="30"/>
      <c r="O57" s="30">
        <v>30</v>
      </c>
      <c r="P57" s="30"/>
      <c r="Q57" s="30"/>
      <c r="R57" s="30"/>
      <c r="S57" s="44">
        <f t="shared" si="10"/>
        <v>1293</v>
      </c>
      <c r="T57" s="15">
        <f t="shared" si="8"/>
        <v>1.0682098677972563E-2</v>
      </c>
      <c r="U57" s="6"/>
    </row>
    <row r="58" spans="1:21">
      <c r="A58" s="14" t="s">
        <v>66</v>
      </c>
      <c r="B58" s="30">
        <v>15</v>
      </c>
      <c r="C58" s="30">
        <v>45</v>
      </c>
      <c r="D58" s="30">
        <v>1</v>
      </c>
      <c r="E58" s="30"/>
      <c r="F58" s="30"/>
      <c r="G58" s="30">
        <v>279</v>
      </c>
      <c r="H58" s="30">
        <v>7</v>
      </c>
      <c r="I58" s="30">
        <v>1</v>
      </c>
      <c r="J58" s="30">
        <v>26</v>
      </c>
      <c r="K58" s="30">
        <v>29</v>
      </c>
      <c r="L58" s="30">
        <v>11</v>
      </c>
      <c r="M58" s="31">
        <v>8</v>
      </c>
      <c r="N58" s="30">
        <v>864</v>
      </c>
      <c r="O58" s="30">
        <v>12</v>
      </c>
      <c r="P58" s="30"/>
      <c r="Q58" s="30"/>
      <c r="R58" s="30">
        <v>156</v>
      </c>
      <c r="S58" s="44">
        <f t="shared" si="10"/>
        <v>1454</v>
      </c>
      <c r="T58" s="15">
        <f t="shared" si="8"/>
        <v>1.2012197585283917E-2</v>
      </c>
      <c r="U58" s="6"/>
    </row>
    <row r="59" spans="1:21">
      <c r="A59" s="14" t="s">
        <v>67</v>
      </c>
      <c r="B59" s="30"/>
      <c r="C59" s="30"/>
      <c r="D59" s="30"/>
      <c r="E59" s="30"/>
      <c r="F59" s="30"/>
      <c r="G59" s="30">
        <v>458</v>
      </c>
      <c r="H59" s="30"/>
      <c r="I59" s="30"/>
      <c r="J59" s="30">
        <v>6</v>
      </c>
      <c r="K59" s="30"/>
      <c r="L59" s="30"/>
      <c r="M59" s="31"/>
      <c r="N59" s="30"/>
      <c r="O59" s="30"/>
      <c r="P59" s="30">
        <v>46</v>
      </c>
      <c r="Q59" s="30">
        <v>2</v>
      </c>
      <c r="R59" s="30"/>
      <c r="S59" s="44">
        <f t="shared" si="10"/>
        <v>512</v>
      </c>
      <c r="T59" s="15">
        <f t="shared" si="8"/>
        <v>4.2298797549280365E-3</v>
      </c>
      <c r="U59" s="6"/>
    </row>
    <row r="60" spans="1:21">
      <c r="A60" s="14" t="s">
        <v>68</v>
      </c>
      <c r="B60" s="30">
        <v>9</v>
      </c>
      <c r="C60" s="30">
        <v>59</v>
      </c>
      <c r="D60" s="30"/>
      <c r="E60" s="30"/>
      <c r="F60" s="30"/>
      <c r="G60" s="30">
        <v>115</v>
      </c>
      <c r="H60" s="30"/>
      <c r="I60" s="30"/>
      <c r="J60" s="30">
        <v>39</v>
      </c>
      <c r="K60" s="30">
        <v>15</v>
      </c>
      <c r="L60" s="30">
        <v>4</v>
      </c>
      <c r="M60" s="31"/>
      <c r="N60" s="30">
        <v>235</v>
      </c>
      <c r="O60" s="30">
        <v>2</v>
      </c>
      <c r="P60" s="30"/>
      <c r="Q60" s="30"/>
      <c r="R60" s="30"/>
      <c r="S60" s="44">
        <f t="shared" si="10"/>
        <v>478</v>
      </c>
      <c r="T60" s="15">
        <f t="shared" si="8"/>
        <v>3.948989302452347E-3</v>
      </c>
      <c r="U60" s="6"/>
    </row>
    <row r="61" spans="1:21">
      <c r="A61" s="14" t="s">
        <v>70</v>
      </c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1"/>
      <c r="N61" s="30"/>
      <c r="O61" s="30"/>
      <c r="P61" s="30"/>
      <c r="Q61" s="30"/>
      <c r="R61" s="30"/>
      <c r="S61" s="44">
        <f t="shared" si="10"/>
        <v>0</v>
      </c>
      <c r="T61" s="15">
        <f t="shared" si="8"/>
        <v>0</v>
      </c>
      <c r="U61" s="6"/>
    </row>
    <row r="62" spans="1:21">
      <c r="A62" s="14" t="s">
        <v>71</v>
      </c>
      <c r="B62" s="30">
        <v>13</v>
      </c>
      <c r="C62" s="30"/>
      <c r="D62" s="30"/>
      <c r="E62" s="30"/>
      <c r="F62" s="30"/>
      <c r="G62" s="30"/>
      <c r="H62" s="30"/>
      <c r="I62" s="30"/>
      <c r="J62" s="30">
        <v>100</v>
      </c>
      <c r="K62" s="30"/>
      <c r="L62" s="30"/>
      <c r="M62" s="31"/>
      <c r="N62" s="30"/>
      <c r="O62" s="30">
        <v>291</v>
      </c>
      <c r="P62" s="30"/>
      <c r="Q62" s="30"/>
      <c r="R62" s="30"/>
      <c r="S62" s="44">
        <f t="shared" si="10"/>
        <v>404</v>
      </c>
      <c r="T62" s="15">
        <f t="shared" si="8"/>
        <v>3.3376394941229039E-3</v>
      </c>
      <c r="U62" s="6"/>
    </row>
    <row r="63" spans="1:21">
      <c r="A63" s="14" t="s">
        <v>76</v>
      </c>
      <c r="B63" s="30">
        <v>136</v>
      </c>
      <c r="C63" s="30">
        <v>521</v>
      </c>
      <c r="D63" s="30">
        <v>460</v>
      </c>
      <c r="E63" s="30">
        <v>94</v>
      </c>
      <c r="F63" s="30"/>
      <c r="G63" s="30">
        <v>817</v>
      </c>
      <c r="H63" s="30"/>
      <c r="I63" s="30">
        <v>3</v>
      </c>
      <c r="J63" s="30">
        <v>54</v>
      </c>
      <c r="K63" s="30">
        <v>35</v>
      </c>
      <c r="L63" s="30">
        <v>1457</v>
      </c>
      <c r="M63" s="31"/>
      <c r="N63" s="30"/>
      <c r="O63" s="30">
        <v>15</v>
      </c>
      <c r="P63" s="30"/>
      <c r="Q63" s="30">
        <v>4042</v>
      </c>
      <c r="R63" s="30"/>
      <c r="S63" s="44">
        <f t="shared" si="10"/>
        <v>7634</v>
      </c>
      <c r="T63" s="15">
        <f t="shared" si="8"/>
        <v>6.3068168064688734E-2</v>
      </c>
      <c r="U63" s="6"/>
    </row>
    <row r="64" spans="1:21">
      <c r="A64" s="14" t="s">
        <v>72</v>
      </c>
      <c r="B64" s="30">
        <v>54</v>
      </c>
      <c r="C64" s="30">
        <f>36+8+5+3+2+2+2+5+13+12+11</f>
        <v>99</v>
      </c>
      <c r="D64" s="30">
        <v>172</v>
      </c>
      <c r="E64" s="30">
        <v>946</v>
      </c>
      <c r="F64" s="30">
        <f>1222+1317</f>
        <v>2539</v>
      </c>
      <c r="G64" s="30">
        <f>88+4+6946</f>
        <v>7038</v>
      </c>
      <c r="H64" s="30">
        <v>3</v>
      </c>
      <c r="I64" s="30">
        <v>11</v>
      </c>
      <c r="J64" s="30">
        <v>1162</v>
      </c>
      <c r="K64" s="30">
        <f>16+3+2+1+1+2+7+1+1</f>
        <v>34</v>
      </c>
      <c r="L64" s="30">
        <f>2+6+4+1180</f>
        <v>1192</v>
      </c>
      <c r="M64" s="31"/>
      <c r="N64" s="30">
        <f>2326+5+29+11+774+1567</f>
        <v>4712</v>
      </c>
      <c r="O64" s="30">
        <f>1+15+2+1+3+43+1+3+3+2</f>
        <v>74</v>
      </c>
      <c r="P64" s="30">
        <v>626</v>
      </c>
      <c r="Q64" s="30">
        <f>2+2+14</f>
        <v>18</v>
      </c>
      <c r="R64" s="30">
        <v>2103</v>
      </c>
      <c r="S64" s="44">
        <f t="shared" si="10"/>
        <v>20783</v>
      </c>
      <c r="T64" s="15">
        <f t="shared" si="8"/>
        <v>0.17169841981771367</v>
      </c>
      <c r="U64" s="6"/>
    </row>
    <row r="65" spans="1:21">
      <c r="A65" s="46" t="s">
        <v>14</v>
      </c>
      <c r="B65" s="45">
        <f>+B64+B62+B61+B60+B59+B58+B57+B56+B53+B49+B46+B43+B36+B26+B23+B16+B18+B15+B12+B17+B63</f>
        <v>303318</v>
      </c>
      <c r="C65" s="45">
        <f>+C64+C62+C61+C60+C59+C58+C57+C56+C53+C49+C46+C43+C36+C26+C23+C16+C18+C15+C12+C17+C63</f>
        <v>482939</v>
      </c>
      <c r="D65" s="45">
        <f t="shared" ref="D65:R65" si="16">+D64+D62+D61+D60+D59+D58+D57+D56+D53+D49+D46+D43+D36+D26+D23+D16+D18+D15+D12+D17+D63</f>
        <v>188925</v>
      </c>
      <c r="E65" s="45">
        <f t="shared" si="16"/>
        <v>106237</v>
      </c>
      <c r="F65" s="45">
        <f>+F64+F62+F61+F60+F59+F58+F57+F56+F53+F49+F46+F43+F36+F26+F23+F16+F18+F15+F12+F17+F63</f>
        <v>1795885</v>
      </c>
      <c r="G65" s="45">
        <f t="shared" si="16"/>
        <v>3036773</v>
      </c>
      <c r="H65" s="45">
        <f t="shared" si="16"/>
        <v>71218</v>
      </c>
      <c r="I65" s="45">
        <f t="shared" si="16"/>
        <v>96284</v>
      </c>
      <c r="J65" s="45">
        <f t="shared" si="16"/>
        <v>1360777</v>
      </c>
      <c r="K65" s="45">
        <f t="shared" si="16"/>
        <v>49793</v>
      </c>
      <c r="L65" s="45">
        <f t="shared" si="16"/>
        <v>387553</v>
      </c>
      <c r="M65" s="45">
        <f t="shared" si="16"/>
        <v>142826</v>
      </c>
      <c r="N65" s="45">
        <f t="shared" si="16"/>
        <v>2476435</v>
      </c>
      <c r="O65" s="45">
        <f t="shared" si="16"/>
        <v>855308</v>
      </c>
      <c r="P65" s="45">
        <f t="shared" si="16"/>
        <v>303948</v>
      </c>
      <c r="Q65" s="45">
        <f t="shared" si="16"/>
        <v>144202</v>
      </c>
      <c r="R65" s="45">
        <f t="shared" si="16"/>
        <v>301942</v>
      </c>
      <c r="S65" s="45">
        <f t="shared" si="10"/>
        <v>12104363</v>
      </c>
      <c r="T65" s="25">
        <f t="shared" si="8"/>
        <v>100</v>
      </c>
      <c r="U65" s="6"/>
    </row>
    <row r="66" spans="1:21" s="38" customFormat="1" ht="17.25">
      <c r="A66" s="76" t="s">
        <v>83</v>
      </c>
      <c r="B66" s="77"/>
      <c r="C66" s="77"/>
      <c r="D66" s="77"/>
      <c r="E66" s="77"/>
      <c r="F66" s="77"/>
      <c r="G66" s="77"/>
      <c r="H66" s="77"/>
      <c r="I66" s="77"/>
      <c r="J66" s="76" t="s">
        <v>84</v>
      </c>
      <c r="K66" s="77"/>
      <c r="L66" s="77"/>
      <c r="M66" s="77"/>
      <c r="N66" s="77"/>
      <c r="O66" s="77"/>
      <c r="P66" s="77"/>
      <c r="Q66" s="77"/>
      <c r="R66" s="77"/>
      <c r="S66" s="77"/>
      <c r="T66" s="78"/>
      <c r="U66" s="27"/>
    </row>
    <row r="67" spans="1:21">
      <c r="A67" s="79" t="s">
        <v>86</v>
      </c>
      <c r="B67" s="6"/>
      <c r="C67" s="6"/>
      <c r="D67" s="6"/>
      <c r="E67" s="6"/>
      <c r="F67" s="6"/>
      <c r="G67" s="7"/>
      <c r="H67" s="6"/>
      <c r="I67" s="6"/>
      <c r="J67" s="6"/>
      <c r="K67" s="6"/>
      <c r="L67" s="6"/>
      <c r="M67" s="8"/>
      <c r="N67" s="6"/>
      <c r="O67" s="6"/>
      <c r="P67" s="6"/>
      <c r="Q67" s="6"/>
      <c r="R67" s="6"/>
      <c r="S67" s="9"/>
      <c r="T67" s="73" t="s">
        <v>73</v>
      </c>
      <c r="U67" s="6"/>
    </row>
    <row r="69" spans="1:21"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</row>
    <row r="72" spans="1:21">
      <c r="S72" s="48"/>
    </row>
    <row r="73" spans="1:21">
      <c r="S73" s="48"/>
    </row>
  </sheetData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rowBreaks count="1" manualBreakCount="1">
    <brk id="4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9.UE14+EFTA+UK_pc marche 2021</vt:lpstr>
      <vt:lpstr>9.UE14+EFTA+UK_pc marche 2020</vt:lpstr>
      <vt:lpstr>9.UE15+EFTA_pc marche 2019</vt:lpstr>
      <vt:lpstr>9.UE15+EFTA_pc marche 2018</vt:lpstr>
      <vt:lpstr>9.UE15+EFTA_pc marche 2017</vt:lpstr>
      <vt:lpstr>9.UE15+EFTA_pc marche 2016 </vt:lpstr>
      <vt:lpstr>9.UE15+EFTA_pc marche 2015</vt:lpstr>
      <vt:lpstr>9.UE15+EFTA_pc marche 2014</vt:lpstr>
      <vt:lpstr>'9.UE15+EFTA_pc marche 2014'!Area_stampa</vt:lpstr>
      <vt:lpstr>'9.UE15+EFTA_pc marche 2015'!Area_stampa</vt:lpstr>
      <vt:lpstr>'9.UE15+EFTA_pc marche 2016 '!Area_stampa</vt:lpstr>
      <vt:lpstr>'9.UE15+EFTA_pc marche 2017'!Area_stampa</vt:lpstr>
      <vt:lpstr>'9.UE15+EFTA_pc marche 2018'!Area_stampa</vt:lpstr>
      <vt:lpstr>'9.UE15+EFTA_pc marche 2019'!Area_stampa</vt:lpstr>
      <vt:lpstr>'9.UE15+EFTA_pc marche 2014'!Titoli_stampa</vt:lpstr>
      <vt:lpstr>'9.UE15+EFTA_pc marche 2015'!Titoli_stampa</vt:lpstr>
      <vt:lpstr>'9.UE15+EFTA_pc marche 2016 '!Titoli_stampa</vt:lpstr>
      <vt:lpstr>'9.UE15+EFTA_pc marche 2017'!Titoli_stampa</vt:lpstr>
      <vt:lpstr>'9.UE15+EFTA_pc marche 2018'!Titoli_stampa</vt:lpstr>
      <vt:lpstr>'9.UE15+EFTA_pc marche 2019'!Titoli_stampa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saglietto marisa</dc:creator>
  <cp:lastModifiedBy>Giuseppe Casto</cp:lastModifiedBy>
  <cp:lastPrinted>2020-07-23T08:59:11Z</cp:lastPrinted>
  <dcterms:created xsi:type="dcterms:W3CDTF">2012-11-28T13:38:04Z</dcterms:created>
  <dcterms:modified xsi:type="dcterms:W3CDTF">2022-10-27T12:54:45Z</dcterms:modified>
</cp:coreProperties>
</file>